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5fiscal.sharepoint.com/Shared Documents/Nebraska/Cost model/"/>
    </mc:Choice>
  </mc:AlternateContent>
  <xr:revisionPtr revIDLastSave="0" documentId="8_{E4D67F80-D54A-4A91-B4F6-39FAE31BFC60}" xr6:coauthVersionLast="47" xr6:coauthVersionMax="47" xr10:uidLastSave="{00000000-0000-0000-0000-000000000000}"/>
  <bookViews>
    <workbookView xWindow="0" yWindow="0" windowWidth="28800" windowHeight="18000" firstSheet="2" activeTab="2" xr2:uid="{844EC723-1B54-7343-A726-E08641AB7D6B}"/>
  </bookViews>
  <sheets>
    <sheet name="Cuidado infantil en centros" sheetId="35" r:id="rId1"/>
    <sheet name="Quality Center Profile" sheetId="1" state="hidden" r:id="rId2"/>
    <sheet name="Cuidado infantil familiar" sheetId="117" r:id="rId3"/>
    <sheet name="Quality Home Profile" sheetId="118" state="hidden" r:id="rId4"/>
    <sheet name="QualVar" sheetId="111" state="hidden" r:id="rId5"/>
    <sheet name="Wages" sheetId="110" state="hidden" r:id="rId6"/>
    <sheet name="Ratios" sheetId="90" state="hidden" r:id="rId7"/>
    <sheet name="Nonpersonnel PCQC" sheetId="77" state="hidden" r:id="rId8"/>
    <sheet name="State Subsidy" sheetId="113" state="hidden" r:id="rId9"/>
    <sheet name="Tuition" sheetId="114" state="hidden" r:id="rId10"/>
    <sheet name="Fed CACFP" sheetId="112" state="hidden" r:id="rId11"/>
    <sheet name="Sheet1" sheetId="115" state="hidden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2" hidden="1">'Cuidado infantil familiar'!$A$10:$D$18</definedName>
    <definedName name="_xlnm._FilterDatabase" localSheetId="11" hidden="1">Sheet1!$B$1:$C$1</definedName>
    <definedName name="_NumberTeachingStaff" localSheetId="10">'Quality Center Profile'!$A$30</definedName>
    <definedName name="_NumberTeachingStaff">'Quality Center Profile'!$A$30</definedName>
    <definedName name="_NumberTeachingStaffFCC">'Quality Home Profile'!$A$38</definedName>
    <definedName name="AAdegree" localSheetId="10">#REF!</definedName>
    <definedName name="AAdegree">'Cuidado infantil en centros'!#REF!</definedName>
    <definedName name="AAdegree_FCC">'Cuidado infantil familiar'!#REF!</definedName>
    <definedName name="AAdegree2">'Cuidado infantil en centros'!#REF!</definedName>
    <definedName name="AdditionalBenefits" localSheetId="10">#REF!</definedName>
    <definedName name="AdditionalBenefits">'Quality Center Profile'!$D$46</definedName>
    <definedName name="AdditionalBenefits_FCC">'Quality Home Profile'!#REF!</definedName>
    <definedName name="Addl_benefits_per_staff">'Quality Center Profile'!$C$46</definedName>
    <definedName name="Addl_benefits_per_staff_FCC">'Quality Home Profile'!#REF!</definedName>
    <definedName name="Admin_Staff" localSheetId="10">#REF!</definedName>
    <definedName name="Admin_Staff">'Quality Center Profile'!$D$22</definedName>
    <definedName name="Admin_Staff_FCC">'Quality Home Profile'!#REF!</definedName>
    <definedName name="Administration__by_child" localSheetId="4">#REF!</definedName>
    <definedName name="Administration__by_child">#REF!</definedName>
    <definedName name="Administraton_by_Child_FCC">#REF!</definedName>
    <definedName name="Asst_Teacher" localSheetId="10">#REF!</definedName>
    <definedName name="Asst_Teacher">'Quality Center Profile'!$D$25</definedName>
    <definedName name="Asst_Teacher_FCC">'Quality Home Profile'!$C$26</definedName>
    <definedName name="Asst_TeacherIT">'Quality Center Profile'!$D$25</definedName>
    <definedName name="AsstTeacherFCC">'Quality Home Profile'!#REF!</definedName>
    <definedName name="BadDebt" localSheetId="10">#REF!</definedName>
    <definedName name="BadDebt">'Cuidado infantil en centros'!$C$43</definedName>
    <definedName name="BadDebt_FCC">'Cuidado infantil familiar'!$D$41</definedName>
    <definedName name="BAdegree" localSheetId="10">#REF!</definedName>
    <definedName name="BAdegree">'Cuidado infantil en centros'!#REF!</definedName>
    <definedName name="BLSsalary" localSheetId="4">#REF!</definedName>
    <definedName name="BLSsalary">#REF!</definedName>
    <definedName name="City_Fours" localSheetId="10">#REF!</definedName>
    <definedName name="City_Fours" localSheetId="4">#REF!</definedName>
    <definedName name="City_Fours">#REF!</definedName>
    <definedName name="City_Infants" localSheetId="10">#REF!</definedName>
    <definedName name="City_Infants" localSheetId="4">#REF!</definedName>
    <definedName name="City_Infants">#REF!</definedName>
    <definedName name="City_Threes" localSheetId="10">#REF!</definedName>
    <definedName name="City_Threes" localSheetId="4">#REF!</definedName>
    <definedName name="City_Threes">#REF!</definedName>
    <definedName name="City_Toddlers" localSheetId="10">#REF!</definedName>
    <definedName name="City_Toddlers" localSheetId="4">#REF!</definedName>
    <definedName name="City_Toddlers">#REF!</definedName>
    <definedName name="COunty" localSheetId="10">#REF!</definedName>
    <definedName name="COunty">'Cuidado infantil en centros'!#REF!</definedName>
    <definedName name="Edprogram2">'[1]Quality Center Profile'!$D$58</definedName>
    <definedName name="Education_Program__by_child" localSheetId="4">#REF!</definedName>
    <definedName name="Education_Program__by_child">#REF!</definedName>
    <definedName name="EnhRatio" localSheetId="10">#REF!</definedName>
    <definedName name="EnhRatio">'Cuidado infantil en centros'!#REF!</definedName>
    <definedName name="EnhSpace" localSheetId="10">#REF!</definedName>
    <definedName name="EnhSpace">'Cuidado infantil en centros'!#REF!</definedName>
    <definedName name="EnrollEffic" localSheetId="10">#REF!</definedName>
    <definedName name="EnrollEffic">'Cuidado infantil en centros'!$C$42</definedName>
    <definedName name="EnrollEffic_FCC">'Cuidado infantil familiar'!$D$40</definedName>
    <definedName name="Floater_Assts" localSheetId="10">#REF!</definedName>
    <definedName name="Floater_Assts">'Quality Center Profile'!$D$28</definedName>
    <definedName name="Fours">'Quality Center Profile'!#REF!</definedName>
    <definedName name="Fours_City_Target_Subsidies">'[2]VariablesINPUT-CTR'!$E$29</definedName>
    <definedName name="Fours_Contract">'[3]VariablesINPUT-CTR'!$D$29</definedName>
    <definedName name="Fours_Private_Tuition">'Cuidado infantil en centros'!#REF!</definedName>
    <definedName name="FOURS_Tuition" localSheetId="10">#REF!</definedName>
    <definedName name="FOURS_Tuition" localSheetId="4">#REF!</definedName>
    <definedName name="FOURS_Tuition">#REF!</definedName>
    <definedName name="Fours_Voucher">'[3]VariablesINPUT-CTR'!$C$29</definedName>
    <definedName name="FoursClassrooms">'Quality Center Profile'!#REF!</definedName>
    <definedName name="HealthIns" localSheetId="10">#REF!</definedName>
    <definedName name="HealthIns">'Cuidado infantil en centros'!$C$26</definedName>
    <definedName name="HealthIns_FCC">'Cuidado infantil familiar'!$C$24</definedName>
    <definedName name="HealthInsFCC" localSheetId="4">#REF!</definedName>
    <definedName name="HealthInsFCC">#REF!</definedName>
    <definedName name="Infant_Aides" localSheetId="10">#REF!</definedName>
    <definedName name="Infant_Aides">'Quality Center Profile'!#REF!</definedName>
    <definedName name="Infant_Assts">'Quality Center Profile'!#REF!</definedName>
    <definedName name="INFANT_Tuition" localSheetId="10">#REF!</definedName>
    <definedName name="INFANT_Tuition" localSheetId="4">#REF!</definedName>
    <definedName name="INFANT_Tuition">#REF!</definedName>
    <definedName name="InfantClassrooms" localSheetId="10">#REF!</definedName>
    <definedName name="InfantClassrooms">'Quality Center Profile'!$F$7</definedName>
    <definedName name="Infants" localSheetId="10">#REF!</definedName>
    <definedName name="Infants">'Quality Center Profile'!$A$7</definedName>
    <definedName name="Infants_City_Target_Subsidies">'[2]VariablesINPUT-CTR'!$E$26</definedName>
    <definedName name="Infants_Contract">'[3]VariablesINPUT-CTR'!$D$26</definedName>
    <definedName name="Infants_FCC">'Quality Home Profile'!$A$7</definedName>
    <definedName name="Infants_Private_Tuition">'Cuidado infantil en centros'!#REF!</definedName>
    <definedName name="Infants_Voucher">'[3]VariablesINPUT-CTR'!$C$26</definedName>
    <definedName name="Kinder" localSheetId="10">#REF!</definedName>
    <definedName name="Kinder">'Cuidado infantil en centros'!#REF!</definedName>
    <definedName name="KinderParity" localSheetId="10">#REF!</definedName>
    <definedName name="KinderParity" localSheetId="4">#REF!</definedName>
    <definedName name="KinderParity">#REF!</definedName>
    <definedName name="LeadTeacher" localSheetId="10">#REF!</definedName>
    <definedName name="LeadTeacher">'Quality Center Profile'!$D$24</definedName>
    <definedName name="LeadTeacherIT">'Quality Center Profile'!$D$24</definedName>
    <definedName name="MandatoryBenefits" localSheetId="10">#REF!</definedName>
    <definedName name="MandatoryBenefits">'Quality Center Profile'!$D$44</definedName>
    <definedName name="MinWage" localSheetId="10">#REF!</definedName>
    <definedName name="MinWage">'Cuidado infantil en centros'!#REF!</definedName>
    <definedName name="ModelScale" localSheetId="10">#REF!</definedName>
    <definedName name="ModelScale">'Cuidado infantil en centros'!#REF!</definedName>
    <definedName name="Nonpersonnel" localSheetId="10">#REF!</definedName>
    <definedName name="Nonpersonnel">'Quality Center Profile'!$D$63</definedName>
    <definedName name="NP_EdProgram" localSheetId="10">#REF!</definedName>
    <definedName name="NP_EdProgram">'Quality Center Profile'!$D$59</definedName>
    <definedName name="NP_MgtAdmin" localSheetId="10">#REF!</definedName>
    <definedName name="NP_MgtAdmin">'Quality Center Profile'!$D$61</definedName>
    <definedName name="NP_Occupancy" localSheetId="10">#REF!</definedName>
    <definedName name="NP_Occupancy">'Quality Center Profile'!$D$60</definedName>
    <definedName name="Npocc2">'[1]Quality Center Profile'!$D$59</definedName>
    <definedName name="Occupancy">'Quality Center Profile'!$D$60</definedName>
    <definedName name="Occupancy__by_classroom" localSheetId="4">#REF!</definedName>
    <definedName name="Occupancy__by_classroom">#REF!</definedName>
    <definedName name="Ones_Private_Tuition" localSheetId="10">'Cuidado infantil en centros'!#REF!</definedName>
    <definedName name="Ones_Private_Tuition">'Cuidado infantil en centros'!#REF!</definedName>
    <definedName name="Paid_Leave" localSheetId="10">#REF!</definedName>
    <definedName name="Paid_Leave">'Cuidado infantil en centros'!$C$29</definedName>
    <definedName name="Paid_Leave_FCC">'Cuidado infantil familiar'!$C$27</definedName>
    <definedName name="PaidLeaveFCC" localSheetId="4">#REF!</definedName>
    <definedName name="PaidLeaveFCC">#REF!</definedName>
    <definedName name="Personnel">'Quality Center Profile'!$D$48</definedName>
    <definedName name="Preschool_Aides" localSheetId="10">#REF!</definedName>
    <definedName name="Preschool_Aides">'Quality Center Profile'!#REF!</definedName>
    <definedName name="PreschoolClassrooms" localSheetId="10">#REF!</definedName>
    <definedName name="PreschoolClassrooms">'Quality Center Profile'!#REF!</definedName>
    <definedName name="Preschoolers" localSheetId="10">#REF!</definedName>
    <definedName name="Preschoolers">'Quality Center Profile'!$A$12</definedName>
    <definedName name="Preschoolers_FCC">'Quality Home Profile'!$A$11</definedName>
    <definedName name="PreschoolersClassroom">'Quality Center Profile'!$F$12</definedName>
    <definedName name="_xlnm.Print_Area" localSheetId="0">'Cuidado infantil en centros'!$A$62:$Q$206</definedName>
    <definedName name="_xlnm.Print_Area" localSheetId="2">'Cuidado infantil familiar'!$A$61:$Q$202</definedName>
    <definedName name="ProfDev" localSheetId="10">#REF!</definedName>
    <definedName name="ProfDev">'Cuidado infantil en centros'!#REF!</definedName>
    <definedName name="QualityVarCost">'Quality Center Profile'!#REF!</definedName>
    <definedName name="QualityVarCostFCC">'Quality Home Profile'!$D$55</definedName>
    <definedName name="RatioOpt" localSheetId="10">#REF!</definedName>
    <definedName name="RatioOpt">'Cuidado infantil en centros'!#REF!</definedName>
    <definedName name="Region" localSheetId="10">#REF!</definedName>
    <definedName name="Region">'Cuidado infantil en centros'!#REF!</definedName>
    <definedName name="RegionFCC" localSheetId="4">#REF!</definedName>
    <definedName name="RegionFCC">#REF!</definedName>
    <definedName name="Reserve_Fund" localSheetId="10">#REF!</definedName>
    <definedName name="Reserve_Fund">'Quality Center Profile'!$D$65</definedName>
    <definedName name="Reserve_Fund_FCC">'Quality Home Profile'!$D$64</definedName>
    <definedName name="Salary" localSheetId="10">#REF!</definedName>
    <definedName name="Salary">'Cuidado infantil en centros'!#REF!</definedName>
    <definedName name="SalaryData" localSheetId="10">#REF!</definedName>
    <definedName name="SalaryData">'Cuidado infantil en centros'!#REF!</definedName>
    <definedName name="SalaryLevel" localSheetId="10">#REF!</definedName>
    <definedName name="SalaryLevel">'Cuidado infantil en centros'!#REF!</definedName>
    <definedName name="SalaryScale" localSheetId="10">#REF!</definedName>
    <definedName name="SalaryScale">'Cuidado infantil en centros'!#REF!</definedName>
    <definedName name="SalaryScaleFCC" localSheetId="4">#REF!</definedName>
    <definedName name="SalaryScaleFCC">#REF!</definedName>
    <definedName name="SchoolageClassroom">'Quality Center Profile'!A1</definedName>
    <definedName name="Schoolagers" localSheetId="10">'Quality Center Profile'!#REF!</definedName>
    <definedName name="Schoolagers">'Quality Center Profile'!#REF!</definedName>
    <definedName name="Schoolagers_FCC">'Quality Home Profile'!$A$12</definedName>
    <definedName name="Sick_Days" localSheetId="10">#REF!</definedName>
    <definedName name="Sick_Days">'Cuidado infantil en centros'!$C$28</definedName>
    <definedName name="Sick_Days_FCC">'Cuidado infantil familiar'!$C$26</definedName>
    <definedName name="Sick_DaysFCC">'Cuidado infantil familiar'!$C$26</definedName>
    <definedName name="SickDaysFCC" localSheetId="4">#REF!</definedName>
    <definedName name="SickDaysFCC">#REF!</definedName>
    <definedName name="StarLevel" localSheetId="10">#REF!</definedName>
    <definedName name="StarLevel">'Cuidado infantil en centros'!#REF!</definedName>
    <definedName name="Subs" localSheetId="10">#REF!</definedName>
    <definedName name="Subs">'Quality Center Profile'!$D$36</definedName>
    <definedName name="Threes">'Quality Center Profile'!#REF!</definedName>
    <definedName name="Threes_City_Target_Subsidies">'[2]VariablesINPUT-CTR'!$E$28</definedName>
    <definedName name="Threes_Contract">'[3]VariablesINPUT-CTR'!$D$28</definedName>
    <definedName name="Threes_Private_Tuition">'Cuidado infantil en centros'!#REF!</definedName>
    <definedName name="THREES_tuition" localSheetId="10">#REF!</definedName>
    <definedName name="THREES_tuition" localSheetId="4">#REF!</definedName>
    <definedName name="THREES_tuition">#REF!</definedName>
    <definedName name="Threes_Voucher">'[3]VariablesINPUT-CTR'!$C$28</definedName>
    <definedName name="ThreesClassroom">'Quality Center Profile'!#REF!</definedName>
    <definedName name="ThreesClassrooms">'Quality Center Profile'!#REF!</definedName>
    <definedName name="TODDLER_Tuition" localSheetId="10">#REF!</definedName>
    <definedName name="TODDLER_Tuition" localSheetId="4">#REF!</definedName>
    <definedName name="TODDLER_Tuition">#REF!</definedName>
    <definedName name="ToddlerClassrooms" localSheetId="10">#REF!</definedName>
    <definedName name="ToddlerClassrooms">'Quality Center Profile'!#REF!</definedName>
    <definedName name="Toddlers" localSheetId="10">#REF!</definedName>
    <definedName name="Toddlers">'Quality Center Profile'!#REF!</definedName>
    <definedName name="Toddlers_City_Target_Subsidies">'[2]VariablesINPUT-CTR'!$E$27</definedName>
    <definedName name="Toddlers_Contract">'[3]VariablesINPUT-CTR'!$D$27</definedName>
    <definedName name="Toddlers_FCC">'Quality Home Profile'!$A$8</definedName>
    <definedName name="Toddlers_Private_Tuition">'[3]VariablesINPUT-CTR'!$F$27</definedName>
    <definedName name="Toddlers_Voucher">'[3]VariablesINPUT-CTR'!$C$27</definedName>
    <definedName name="TOTAL_Children" localSheetId="10">#REF!</definedName>
    <definedName name="TOTAL_Children" localSheetId="4">#REF!</definedName>
    <definedName name="TOTAL_Children">#REF!</definedName>
    <definedName name="TotalChildren" localSheetId="10">#REF!</definedName>
    <definedName name="TotalChildren">'Quality Center Profile'!$A$13</definedName>
    <definedName name="TotalChildren_FCC">'Quality Home Profile'!$A$13</definedName>
    <definedName name="TotalClassrooms" localSheetId="10">#REF!</definedName>
    <definedName name="TotalClassrooms">'Quality Center Profile'!$F$13</definedName>
    <definedName name="Twos">'Quality Center Profile'!$A$12</definedName>
    <definedName name="Twos_Private_Tuition" localSheetId="10">#REF!</definedName>
    <definedName name="Twos_Private_Tuition">'Cuidado infantil en centros'!#REF!</definedName>
    <definedName name="TwosClassroom">'Quality Center Profile'!$F$12</definedName>
    <definedName name="TwosClassrooms">'Quality Center Profile'!$F$12</definedName>
    <definedName name="User" localSheetId="10">#REF!</definedName>
    <definedName name="User">'Cuidado infantil en centros'!#REF!</definedName>
    <definedName name="VOUCHER_Fours" localSheetId="10">#REF!</definedName>
    <definedName name="VOUCHER_Fours" localSheetId="4">#REF!</definedName>
    <definedName name="VOUCHER_Fours">#REF!</definedName>
    <definedName name="VOUCHER_Infants" localSheetId="10">#REF!</definedName>
    <definedName name="VOUCHER_Infants" localSheetId="4">#REF!</definedName>
    <definedName name="VOUCHER_Infants">#REF!</definedName>
    <definedName name="VOUCHER_Threes" localSheetId="10">#REF!</definedName>
    <definedName name="VOUCHER_Threes" localSheetId="4">#REF!</definedName>
    <definedName name="VOUCHER_Threes">#REF!</definedName>
    <definedName name="VOUCHER_Toddlers" localSheetId="10">#REF!</definedName>
    <definedName name="VOUCHER_Toddlers" localSheetId="4">#REF!</definedName>
    <definedName name="VOUCHER_Toddlers">#REF!</definedName>
    <definedName name="Yes" localSheetId="10">#REF!</definedName>
    <definedName name="Yes">'Cuidado infantil en centros'!#REF!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18" l="1"/>
  <c r="D60" i="118"/>
  <c r="D59" i="118"/>
  <c r="C46" i="1" l="1"/>
  <c r="C42" i="118"/>
  <c r="B16" i="35"/>
  <c r="F76" i="117" l="1"/>
  <c r="E86" i="35"/>
  <c r="E88" i="35"/>
  <c r="E77" i="35"/>
  <c r="B12" i="35"/>
  <c r="B48" i="35" s="1"/>
  <c r="B17" i="35"/>
  <c r="J75" i="118"/>
  <c r="J76" i="118"/>
  <c r="J77" i="118"/>
  <c r="J78" i="118"/>
  <c r="J79" i="118"/>
  <c r="J74" i="118"/>
  <c r="C71" i="118"/>
  <c r="F84" i="117"/>
  <c r="G182" i="117"/>
  <c r="G183" i="117"/>
  <c r="G184" i="117"/>
  <c r="G181" i="117"/>
  <c r="B150" i="117"/>
  <c r="B151" i="117"/>
  <c r="B152" i="117"/>
  <c r="B153" i="117"/>
  <c r="B154" i="117"/>
  <c r="B149" i="117"/>
  <c r="C91" i="1"/>
  <c r="G188" i="35"/>
  <c r="G187" i="35"/>
  <c r="G186" i="35"/>
  <c r="G185" i="35"/>
  <c r="F80" i="1"/>
  <c r="C71" i="1"/>
  <c r="J75" i="1"/>
  <c r="J76" i="1"/>
  <c r="J77" i="1"/>
  <c r="J78" i="1"/>
  <c r="J79" i="1"/>
  <c r="J74" i="1"/>
  <c r="E17" i="35"/>
  <c r="E16" i="35"/>
  <c r="E15" i="35"/>
  <c r="E14" i="35"/>
  <c r="E13" i="35"/>
  <c r="E12" i="35"/>
  <c r="D17" i="35"/>
  <c r="D16" i="35"/>
  <c r="D15" i="35"/>
  <c r="D14" i="35"/>
  <c r="D13" i="35"/>
  <c r="D12" i="35"/>
  <c r="F65" i="35" l="1"/>
  <c r="E94" i="77"/>
  <c r="E93" i="77"/>
  <c r="E92" i="77"/>
  <c r="D94" i="77"/>
  <c r="D93" i="77"/>
  <c r="D92" i="77"/>
  <c r="B92" i="77"/>
  <c r="B93" i="77"/>
  <c r="B94" i="77"/>
  <c r="A82" i="118"/>
  <c r="A83" i="118"/>
  <c r="A84" i="118"/>
  <c r="A85" i="118"/>
  <c r="A86" i="118"/>
  <c r="A81" i="118"/>
  <c r="B153" i="35" l="1"/>
  <c r="F75" i="35"/>
  <c r="D21" i="110"/>
  <c r="D22" i="110"/>
  <c r="D20" i="110"/>
  <c r="D15" i="110"/>
  <c r="D11" i="110"/>
  <c r="D12" i="110"/>
  <c r="D10" i="110"/>
  <c r="I16" i="110"/>
  <c r="I17" i="110"/>
  <c r="I15" i="110"/>
  <c r="J7" i="110"/>
  <c r="I7" i="110"/>
  <c r="E1" i="110"/>
  <c r="I4" i="110" s="1"/>
  <c r="C52" i="117"/>
  <c r="A73" i="118" s="1"/>
  <c r="D47" i="117"/>
  <c r="A75" i="118" s="1"/>
  <c r="D48" i="117"/>
  <c r="A76" i="118" s="1"/>
  <c r="D49" i="117"/>
  <c r="A77" i="118" s="1"/>
  <c r="D50" i="117"/>
  <c r="A78" i="118" s="1"/>
  <c r="D51" i="117"/>
  <c r="A79" i="118" s="1"/>
  <c r="B50" i="117"/>
  <c r="B51" i="117"/>
  <c r="B48" i="117"/>
  <c r="B49" i="117"/>
  <c r="K23" i="113"/>
  <c r="L23" i="113"/>
  <c r="M23" i="113"/>
  <c r="N23" i="113"/>
  <c r="O23" i="113"/>
  <c r="K24" i="113"/>
  <c r="L24" i="113"/>
  <c r="M24" i="113"/>
  <c r="N24" i="113"/>
  <c r="O24" i="113"/>
  <c r="K25" i="113"/>
  <c r="L25" i="113"/>
  <c r="M25" i="113"/>
  <c r="N25" i="113"/>
  <c r="O25" i="113"/>
  <c r="K26" i="113"/>
  <c r="L26" i="113"/>
  <c r="M26" i="113"/>
  <c r="N26" i="113"/>
  <c r="O26" i="113"/>
  <c r="J24" i="113"/>
  <c r="J25" i="113"/>
  <c r="J26" i="113"/>
  <c r="J23" i="113"/>
  <c r="J37" i="113"/>
  <c r="K37" i="113"/>
  <c r="L37" i="113"/>
  <c r="M37" i="113"/>
  <c r="N37" i="113"/>
  <c r="O37" i="113"/>
  <c r="J38" i="113"/>
  <c r="K38" i="113"/>
  <c r="L38" i="113"/>
  <c r="M38" i="113"/>
  <c r="N38" i="113"/>
  <c r="O38" i="113"/>
  <c r="J39" i="113"/>
  <c r="K39" i="113"/>
  <c r="L39" i="113"/>
  <c r="M39" i="113"/>
  <c r="N39" i="113"/>
  <c r="O39" i="113"/>
  <c r="K36" i="113"/>
  <c r="L36" i="113"/>
  <c r="M36" i="113"/>
  <c r="N36" i="113"/>
  <c r="O36" i="113"/>
  <c r="J36" i="113"/>
  <c r="K49" i="113"/>
  <c r="L49" i="113"/>
  <c r="M49" i="113"/>
  <c r="N49" i="113"/>
  <c r="O49" i="113"/>
  <c r="K50" i="113"/>
  <c r="L50" i="113"/>
  <c r="M50" i="113"/>
  <c r="N50" i="113"/>
  <c r="O50" i="113"/>
  <c r="K51" i="113"/>
  <c r="L51" i="113"/>
  <c r="M51" i="113"/>
  <c r="N51" i="113"/>
  <c r="O51" i="113"/>
  <c r="K52" i="113"/>
  <c r="L52" i="113"/>
  <c r="M52" i="113"/>
  <c r="N52" i="113"/>
  <c r="O52" i="113"/>
  <c r="J50" i="113"/>
  <c r="J51" i="113"/>
  <c r="J52" i="113"/>
  <c r="J49" i="113"/>
  <c r="C49" i="113"/>
  <c r="D49" i="113"/>
  <c r="E49" i="113"/>
  <c r="F49" i="113"/>
  <c r="G49" i="113"/>
  <c r="C50" i="113"/>
  <c r="D50" i="113"/>
  <c r="E50" i="113"/>
  <c r="F50" i="113"/>
  <c r="G50" i="113"/>
  <c r="C51" i="113"/>
  <c r="D51" i="113"/>
  <c r="E51" i="113"/>
  <c r="F51" i="113"/>
  <c r="G51" i="113"/>
  <c r="C52" i="113"/>
  <c r="D52" i="113"/>
  <c r="E52" i="113"/>
  <c r="F52" i="113"/>
  <c r="G52" i="113"/>
  <c r="B50" i="113"/>
  <c r="B51" i="113"/>
  <c r="B52" i="113"/>
  <c r="B49" i="113"/>
  <c r="C36" i="113"/>
  <c r="D36" i="113"/>
  <c r="E36" i="113"/>
  <c r="F36" i="113"/>
  <c r="G36" i="113"/>
  <c r="C37" i="113"/>
  <c r="D37" i="113"/>
  <c r="E37" i="113"/>
  <c r="F37" i="113"/>
  <c r="G37" i="113"/>
  <c r="C38" i="113"/>
  <c r="D38" i="113"/>
  <c r="E38" i="113"/>
  <c r="F38" i="113"/>
  <c r="G38" i="113"/>
  <c r="C39" i="113"/>
  <c r="D39" i="113"/>
  <c r="E39" i="113"/>
  <c r="F39" i="113"/>
  <c r="G39" i="113"/>
  <c r="B37" i="113"/>
  <c r="B38" i="113"/>
  <c r="B39" i="113"/>
  <c r="B36" i="113"/>
  <c r="C23" i="113"/>
  <c r="D23" i="113"/>
  <c r="E23" i="113"/>
  <c r="F23" i="113"/>
  <c r="G23" i="113"/>
  <c r="C24" i="113"/>
  <c r="D24" i="113"/>
  <c r="E24" i="113"/>
  <c r="F24" i="113"/>
  <c r="G24" i="113"/>
  <c r="C25" i="113"/>
  <c r="D25" i="113"/>
  <c r="E25" i="113"/>
  <c r="F25" i="113"/>
  <c r="G25" i="113"/>
  <c r="C26" i="113"/>
  <c r="D26" i="113"/>
  <c r="E26" i="113"/>
  <c r="F26" i="113"/>
  <c r="G26" i="113"/>
  <c r="B24" i="113"/>
  <c r="B25" i="113"/>
  <c r="B26" i="113"/>
  <c r="B23" i="113"/>
  <c r="I6" i="110" l="1"/>
  <c r="I5" i="110"/>
  <c r="C18" i="118" s="1"/>
  <c r="J4" i="110"/>
  <c r="J5" i="110"/>
  <c r="C19" i="118" s="1"/>
  <c r="J6" i="110"/>
  <c r="J13" i="112" l="1"/>
  <c r="H13" i="112"/>
  <c r="H12" i="112"/>
  <c r="J12" i="112"/>
  <c r="D88" i="77"/>
  <c r="B90" i="77"/>
  <c r="B88" i="77"/>
  <c r="B82" i="77"/>
  <c r="E78" i="77"/>
  <c r="D78" i="77"/>
  <c r="D79" i="77" s="1"/>
  <c r="E77" i="77"/>
  <c r="E79" i="77" s="1"/>
  <c r="D77" i="77"/>
  <c r="E76" i="77"/>
  <c r="D76" i="77"/>
  <c r="D70" i="77"/>
  <c r="E70" i="77"/>
  <c r="D71" i="77"/>
  <c r="E71" i="77"/>
  <c r="D72" i="77"/>
  <c r="E72" i="77"/>
  <c r="D73" i="77"/>
  <c r="E73" i="77"/>
  <c r="E69" i="77"/>
  <c r="D69" i="77"/>
  <c r="E66" i="77"/>
  <c r="E65" i="77"/>
  <c r="E64" i="77"/>
  <c r="E62" i="77"/>
  <c r="E63" i="77"/>
  <c r="E61" i="77"/>
  <c r="E60" i="77"/>
  <c r="E59" i="77"/>
  <c r="E90" i="77" s="1"/>
  <c r="D65" i="77"/>
  <c r="D64" i="77"/>
  <c r="D61" i="77"/>
  <c r="D60" i="77"/>
  <c r="D59" i="77"/>
  <c r="D90" i="77" s="1"/>
  <c r="D62" i="77"/>
  <c r="D63" i="77"/>
  <c r="E57" i="77"/>
  <c r="E58" i="77"/>
  <c r="E56" i="77"/>
  <c r="D56" i="77"/>
  <c r="D58" i="77"/>
  <c r="D57" i="77"/>
  <c r="E54" i="77"/>
  <c r="D54" i="77"/>
  <c r="E50" i="77"/>
  <c r="D50" i="77"/>
  <c r="D82" i="77" s="1"/>
  <c r="D66" i="77"/>
  <c r="E55" i="77"/>
  <c r="D55" i="77"/>
  <c r="E53" i="77"/>
  <c r="D53" i="77"/>
  <c r="E52" i="77"/>
  <c r="D52" i="77"/>
  <c r="E51" i="77"/>
  <c r="E88" i="77" s="1"/>
  <c r="D51" i="77"/>
  <c r="E47" i="77"/>
  <c r="D47" i="77"/>
  <c r="E46" i="77"/>
  <c r="D46" i="77"/>
  <c r="E74" i="77" l="1"/>
  <c r="E83" i="77" s="1"/>
  <c r="E89" i="77" s="1"/>
  <c r="E67" i="77"/>
  <c r="D74" i="77"/>
  <c r="D83" i="77" s="1"/>
  <c r="D89" i="77" s="1"/>
  <c r="D67" i="77"/>
  <c r="E82" i="77"/>
  <c r="F74" i="117"/>
  <c r="F82" i="117" s="1"/>
  <c r="B17" i="117"/>
  <c r="B18" i="117" s="1"/>
  <c r="B54" i="118"/>
  <c r="B53" i="118"/>
  <c r="B52" i="118"/>
  <c r="B51" i="118"/>
  <c r="B50" i="118"/>
  <c r="B49" i="118"/>
  <c r="B79" i="111"/>
  <c r="C83" i="111"/>
  <c r="C86" i="111" s="1"/>
  <c r="C51" i="111"/>
  <c r="C76" i="111"/>
  <c r="C82" i="111" s="1"/>
  <c r="B76" i="111"/>
  <c r="B82" i="111" s="1"/>
  <c r="B65" i="111"/>
  <c r="D63" i="111"/>
  <c r="C63" i="111"/>
  <c r="B63" i="111"/>
  <c r="D58" i="111"/>
  <c r="D68" i="111" s="1"/>
  <c r="D76" i="111" s="1"/>
  <c r="D82" i="111" s="1"/>
  <c r="C58" i="111"/>
  <c r="C68" i="111" s="1"/>
  <c r="B58" i="111"/>
  <c r="B68" i="111" s="1"/>
  <c r="B56" i="111"/>
  <c r="A8" i="118"/>
  <c r="A9" i="118"/>
  <c r="A10" i="118"/>
  <c r="A11" i="118"/>
  <c r="A12" i="118"/>
  <c r="B8" i="118"/>
  <c r="H91" i="118" s="1"/>
  <c r="B9" i="118"/>
  <c r="H92" i="118" s="1"/>
  <c r="B10" i="118"/>
  <c r="H93" i="118" s="1"/>
  <c r="B11" i="118"/>
  <c r="F67" i="117" s="1"/>
  <c r="G76" i="117" s="1"/>
  <c r="G85" i="117" s="1"/>
  <c r="B12" i="118"/>
  <c r="F68" i="117" s="1"/>
  <c r="G77" i="117" s="1"/>
  <c r="G86" i="117" s="1"/>
  <c r="G46" i="117"/>
  <c r="B82" i="118"/>
  <c r="B83" i="118"/>
  <c r="B84" i="118"/>
  <c r="B85" i="118"/>
  <c r="B86" i="118"/>
  <c r="B81" i="118"/>
  <c r="C69" i="118"/>
  <c r="C68" i="118"/>
  <c r="B75" i="118"/>
  <c r="B76" i="118"/>
  <c r="B77" i="118"/>
  <c r="B78" i="118"/>
  <c r="B79" i="118"/>
  <c r="B74" i="118"/>
  <c r="F7" i="113"/>
  <c r="N7" i="113"/>
  <c r="I41" i="114"/>
  <c r="I40" i="114"/>
  <c r="I39" i="114"/>
  <c r="I38" i="114"/>
  <c r="I34" i="114"/>
  <c r="I33" i="114"/>
  <c r="I32" i="114"/>
  <c r="I31" i="114"/>
  <c r="I30" i="114"/>
  <c r="H30" i="114"/>
  <c r="H37" i="114" s="1"/>
  <c r="G30" i="114"/>
  <c r="G37" i="114" s="1"/>
  <c r="I28" i="114"/>
  <c r="I27" i="114"/>
  <c r="I26" i="114"/>
  <c r="I25" i="114"/>
  <c r="H20" i="114"/>
  <c r="G20" i="114"/>
  <c r="H19" i="114"/>
  <c r="G19" i="114"/>
  <c r="H18" i="114"/>
  <c r="G18" i="114"/>
  <c r="I18" i="114" s="1"/>
  <c r="H17" i="114"/>
  <c r="G17" i="114"/>
  <c r="I17" i="114" s="1"/>
  <c r="H16" i="114"/>
  <c r="G16" i="114"/>
  <c r="H13" i="114"/>
  <c r="G13" i="114"/>
  <c r="H12" i="114"/>
  <c r="G12" i="114"/>
  <c r="I12" i="114" s="1"/>
  <c r="H11" i="114"/>
  <c r="G11" i="114"/>
  <c r="H10" i="114"/>
  <c r="G10" i="114"/>
  <c r="I10" i="114" s="1"/>
  <c r="I9" i="114"/>
  <c r="H9" i="114"/>
  <c r="G9" i="114"/>
  <c r="H7" i="114"/>
  <c r="I7" i="114" s="1"/>
  <c r="G7" i="114"/>
  <c r="H6" i="114"/>
  <c r="G6" i="114"/>
  <c r="H5" i="114"/>
  <c r="G5" i="114"/>
  <c r="I5" i="114" s="1"/>
  <c r="H4" i="114"/>
  <c r="O46" i="113"/>
  <c r="N46" i="113"/>
  <c r="N45" i="113"/>
  <c r="O44" i="113"/>
  <c r="N44" i="113"/>
  <c r="N43" i="113"/>
  <c r="O43" i="113"/>
  <c r="O33" i="113"/>
  <c r="O32" i="113"/>
  <c r="N32" i="113"/>
  <c r="N31" i="113"/>
  <c r="O30" i="113"/>
  <c r="N30" i="113"/>
  <c r="O20" i="113"/>
  <c r="N18" i="113"/>
  <c r="O17" i="113"/>
  <c r="N17" i="113"/>
  <c r="L15" i="113"/>
  <c r="L28" i="113" s="1"/>
  <c r="L41" i="113" s="1"/>
  <c r="J15" i="113"/>
  <c r="J28" i="113" s="1"/>
  <c r="J41" i="113" s="1"/>
  <c r="N13" i="113"/>
  <c r="M13" i="113"/>
  <c r="L13" i="113"/>
  <c r="K13" i="113"/>
  <c r="J13" i="113"/>
  <c r="M12" i="113"/>
  <c r="L12" i="113"/>
  <c r="K12" i="113"/>
  <c r="J12" i="113"/>
  <c r="M11" i="113"/>
  <c r="L11" i="113"/>
  <c r="K11" i="113"/>
  <c r="J11" i="113"/>
  <c r="M10" i="113"/>
  <c r="L10" i="113"/>
  <c r="K10" i="113"/>
  <c r="J10" i="113"/>
  <c r="O7" i="113"/>
  <c r="O13" i="113" s="1"/>
  <c r="O6" i="113"/>
  <c r="O12" i="113" s="1"/>
  <c r="N6" i="113"/>
  <c r="N12" i="113" s="1"/>
  <c r="O5" i="113"/>
  <c r="O11" i="113" s="1"/>
  <c r="N5" i="113"/>
  <c r="N11" i="113" s="1"/>
  <c r="O4" i="113"/>
  <c r="O10" i="113" s="1"/>
  <c r="N4" i="113"/>
  <c r="N10" i="113" s="1"/>
  <c r="B79" i="77"/>
  <c r="B74" i="77"/>
  <c r="B67" i="77"/>
  <c r="B48" i="77"/>
  <c r="C92" i="118"/>
  <c r="C91" i="118"/>
  <c r="D87" i="118"/>
  <c r="C82" i="117" s="1"/>
  <c r="H184" i="117" s="1"/>
  <c r="C43" i="118"/>
  <c r="C39" i="118"/>
  <c r="C29" i="118"/>
  <c r="C28" i="118"/>
  <c r="B7" i="118"/>
  <c r="F63" i="117" s="1"/>
  <c r="G72" i="117" s="1"/>
  <c r="A7" i="118"/>
  <c r="B47" i="117"/>
  <c r="D46" i="117"/>
  <c r="A74" i="118" s="1"/>
  <c r="B46" i="117"/>
  <c r="C70" i="118" l="1"/>
  <c r="I86" i="118"/>
  <c r="G86" i="118"/>
  <c r="F86" i="118" s="1"/>
  <c r="I84" i="118"/>
  <c r="I85" i="118" s="1"/>
  <c r="G84" i="118"/>
  <c r="F84" i="118" s="1"/>
  <c r="I82" i="118"/>
  <c r="I83" i="118" s="1"/>
  <c r="G82" i="118"/>
  <c r="G81" i="118"/>
  <c r="F81" i="118" s="1"/>
  <c r="J86" i="118"/>
  <c r="J81" i="118"/>
  <c r="I81" i="118"/>
  <c r="H81" i="118"/>
  <c r="H86" i="118"/>
  <c r="J84" i="118"/>
  <c r="J85" i="118" s="1"/>
  <c r="H84" i="118"/>
  <c r="H85" i="118" s="1"/>
  <c r="J82" i="118"/>
  <c r="J83" i="118" s="1"/>
  <c r="H82" i="118"/>
  <c r="H83" i="118" s="1"/>
  <c r="D84" i="111"/>
  <c r="D86" i="111" s="1"/>
  <c r="D54" i="118" s="1"/>
  <c r="A19" i="118"/>
  <c r="A20" i="118"/>
  <c r="D52" i="117"/>
  <c r="D53" i="117" s="1"/>
  <c r="C73" i="118"/>
  <c r="D73" i="118" s="1"/>
  <c r="C79" i="117" s="1"/>
  <c r="H181" i="117" s="1"/>
  <c r="E85" i="77"/>
  <c r="D85" i="77"/>
  <c r="B83" i="77"/>
  <c r="B89" i="77" s="1"/>
  <c r="F66" i="117"/>
  <c r="G75" i="117" s="1"/>
  <c r="G84" i="117" s="1"/>
  <c r="F65" i="117"/>
  <c r="G74" i="117" s="1"/>
  <c r="G83" i="117" s="1"/>
  <c r="F64" i="117"/>
  <c r="G73" i="117" s="1"/>
  <c r="G82" i="117" s="1"/>
  <c r="H90" i="118"/>
  <c r="H95" i="118"/>
  <c r="H94" i="118"/>
  <c r="A13" i="118"/>
  <c r="B51" i="111"/>
  <c r="C53" i="117"/>
  <c r="N20" i="113"/>
  <c r="O31" i="113"/>
  <c r="I20" i="114"/>
  <c r="I19" i="114"/>
  <c r="I13" i="114"/>
  <c r="I6" i="114"/>
  <c r="I11" i="114"/>
  <c r="G4" i="114"/>
  <c r="I4" i="114" s="1"/>
  <c r="O19" i="113"/>
  <c r="N19" i="113"/>
  <c r="O18" i="113"/>
  <c r="O45" i="113"/>
  <c r="B85" i="77"/>
  <c r="G81" i="117"/>
  <c r="G83" i="118" l="1"/>
  <c r="F83" i="118" s="1"/>
  <c r="F82" i="118"/>
  <c r="H79" i="118"/>
  <c r="H78" i="118"/>
  <c r="H77" i="118" s="1"/>
  <c r="H75" i="118"/>
  <c r="H76" i="118" s="1"/>
  <c r="H74" i="118"/>
  <c r="G79" i="118"/>
  <c r="F79" i="118" s="1"/>
  <c r="I79" i="118"/>
  <c r="I75" i="118"/>
  <c r="I76" i="118" s="1"/>
  <c r="I74" i="118"/>
  <c r="I78" i="118"/>
  <c r="I77" i="118" s="1"/>
  <c r="G78" i="118"/>
  <c r="G77" i="118" s="1"/>
  <c r="G75" i="118"/>
  <c r="G76" i="118" s="1"/>
  <c r="G74" i="118"/>
  <c r="E85" i="111"/>
  <c r="E86" i="111" s="1"/>
  <c r="K55" i="111"/>
  <c r="C70" i="111"/>
  <c r="B73" i="111"/>
  <c r="D70" i="111"/>
  <c r="C73" i="117"/>
  <c r="A21" i="118"/>
  <c r="H75" i="117"/>
  <c r="G85" i="118"/>
  <c r="N33" i="113"/>
  <c r="C72" i="117"/>
  <c r="F77" i="118" l="1"/>
  <c r="F74" i="118"/>
  <c r="F76" i="118"/>
  <c r="F75" i="118"/>
  <c r="C75" i="118" s="1"/>
  <c r="D75" i="118" s="1"/>
  <c r="F78" i="118"/>
  <c r="C78" i="118" s="1"/>
  <c r="D78" i="118" s="1"/>
  <c r="F85" i="118"/>
  <c r="C85" i="118" s="1"/>
  <c r="D85" i="118" s="1"/>
  <c r="C74" i="118"/>
  <c r="D74" i="118" s="1"/>
  <c r="H81" i="117"/>
  <c r="C77" i="118"/>
  <c r="D77" i="118" s="1"/>
  <c r="H84" i="117"/>
  <c r="C83" i="118"/>
  <c r="D83" i="118" s="1"/>
  <c r="H74" i="117"/>
  <c r="C76" i="118"/>
  <c r="D76" i="118" s="1"/>
  <c r="H83" i="117"/>
  <c r="C82" i="118"/>
  <c r="D82" i="118" s="1"/>
  <c r="H73" i="117"/>
  <c r="C81" i="118"/>
  <c r="D81" i="118" s="1"/>
  <c r="H72" i="117"/>
  <c r="C86" i="118"/>
  <c r="D86" i="118" s="1"/>
  <c r="H77" i="117"/>
  <c r="H85" i="117"/>
  <c r="C84" i="118"/>
  <c r="D84" i="118" s="1"/>
  <c r="A23" i="118"/>
  <c r="D42" i="118"/>
  <c r="B49" i="111"/>
  <c r="C64" i="117"/>
  <c r="D63" i="118"/>
  <c r="C71" i="117"/>
  <c r="H82" i="117" l="1"/>
  <c r="H76" i="117"/>
  <c r="C79" i="118"/>
  <c r="D79" i="118" s="1"/>
  <c r="C81" i="117" s="1"/>
  <c r="H183" i="117" s="1"/>
  <c r="H86" i="117"/>
  <c r="C80" i="117"/>
  <c r="H182" i="117" s="1"/>
  <c r="A25" i="118"/>
  <c r="A72" i="118"/>
  <c r="E20" i="110" l="1"/>
  <c r="F20" i="110"/>
  <c r="G20" i="110"/>
  <c r="H20" i="110"/>
  <c r="C21" i="110"/>
  <c r="C20" i="110" s="1"/>
  <c r="E21" i="110"/>
  <c r="F21" i="110"/>
  <c r="G21" i="110"/>
  <c r="H21" i="110"/>
  <c r="B20" i="110"/>
  <c r="B21" i="110"/>
  <c r="C10" i="110"/>
  <c r="E10" i="110"/>
  <c r="F10" i="110"/>
  <c r="G10" i="110"/>
  <c r="H10" i="110"/>
  <c r="C11" i="110"/>
  <c r="E11" i="110"/>
  <c r="F11" i="110"/>
  <c r="G11" i="110"/>
  <c r="H11" i="110"/>
  <c r="B11" i="110"/>
  <c r="B10" i="110"/>
  <c r="E7" i="77" l="1"/>
  <c r="E9" i="77"/>
  <c r="E10" i="77"/>
  <c r="E11" i="77"/>
  <c r="D7" i="77"/>
  <c r="D9" i="77"/>
  <c r="D10" i="77"/>
  <c r="D11" i="77"/>
  <c r="C69" i="1"/>
  <c r="C17" i="114"/>
  <c r="C18" i="114"/>
  <c r="C19" i="114"/>
  <c r="C20" i="114"/>
  <c r="D20" i="114" s="1"/>
  <c r="B18" i="114"/>
  <c r="D18" i="114" s="1"/>
  <c r="B19" i="114"/>
  <c r="D19" i="114" s="1"/>
  <c r="B20" i="114"/>
  <c r="B17" i="114"/>
  <c r="C10" i="114"/>
  <c r="C11" i="114"/>
  <c r="C12" i="114"/>
  <c r="C13" i="114"/>
  <c r="D13" i="114" s="1"/>
  <c r="B11" i="114"/>
  <c r="B12" i="114"/>
  <c r="B13" i="114"/>
  <c r="B10" i="114"/>
  <c r="C4" i="114"/>
  <c r="C5" i="114"/>
  <c r="C6" i="114"/>
  <c r="C7" i="114"/>
  <c r="B5" i="114"/>
  <c r="B6" i="114"/>
  <c r="B7" i="114"/>
  <c r="B4" i="114"/>
  <c r="D17" i="114"/>
  <c r="D12" i="114"/>
  <c r="D10" i="114"/>
  <c r="D6" i="114"/>
  <c r="D5" i="114"/>
  <c r="D7" i="114"/>
  <c r="B25" i="114"/>
  <c r="D41" i="114"/>
  <c r="D40" i="114"/>
  <c r="D39" i="114"/>
  <c r="D38" i="114"/>
  <c r="B37" i="114"/>
  <c r="D34" i="114"/>
  <c r="D33" i="114"/>
  <c r="D32" i="114"/>
  <c r="D31" i="114"/>
  <c r="D30" i="114"/>
  <c r="C30" i="114"/>
  <c r="C37" i="114" s="1"/>
  <c r="B30" i="114"/>
  <c r="D28" i="114"/>
  <c r="D27" i="114"/>
  <c r="D26" i="114"/>
  <c r="D25" i="114"/>
  <c r="D11" i="114"/>
  <c r="D4" i="114"/>
  <c r="C16" i="114"/>
  <c r="B16" i="114"/>
  <c r="C9" i="114"/>
  <c r="D9" i="114"/>
  <c r="B9" i="114"/>
  <c r="A83" i="1"/>
  <c r="A84" i="1"/>
  <c r="A85" i="1"/>
  <c r="A86" i="1"/>
  <c r="C54" i="35"/>
  <c r="C34" i="111"/>
  <c r="G75" i="1" l="1"/>
  <c r="J86" i="1"/>
  <c r="H86" i="1"/>
  <c r="I79" i="1"/>
  <c r="F79" i="1" s="1"/>
  <c r="G79" i="1"/>
  <c r="H85" i="1"/>
  <c r="I78" i="1"/>
  <c r="F78" i="1" s="1"/>
  <c r="G78" i="1"/>
  <c r="H82" i="1"/>
  <c r="I75" i="1"/>
  <c r="F75" i="1" s="1"/>
  <c r="H81" i="1"/>
  <c r="G74" i="1"/>
  <c r="G86" i="1"/>
  <c r="F86" i="1" s="1"/>
  <c r="H79" i="1"/>
  <c r="H78" i="1"/>
  <c r="H74" i="1"/>
  <c r="J85" i="1"/>
  <c r="I74" i="1"/>
  <c r="F74" i="1" s="1"/>
  <c r="G85" i="1"/>
  <c r="J82" i="1"/>
  <c r="J81" i="1"/>
  <c r="I86" i="1"/>
  <c r="G82" i="1"/>
  <c r="F82" i="1" s="1"/>
  <c r="H75" i="1"/>
  <c r="G81" i="1"/>
  <c r="I85" i="1"/>
  <c r="I82" i="1"/>
  <c r="I81" i="1"/>
  <c r="B56" i="1"/>
  <c r="B53" i="1"/>
  <c r="C19" i="111"/>
  <c r="D19" i="111"/>
  <c r="B19" i="111"/>
  <c r="D14" i="111"/>
  <c r="B22" i="111"/>
  <c r="C70" i="1"/>
  <c r="F85" i="1" l="1"/>
  <c r="F81" i="1"/>
  <c r="G44" i="113"/>
  <c r="G46" i="113"/>
  <c r="F44" i="113"/>
  <c r="F45" i="113"/>
  <c r="F46" i="113"/>
  <c r="F43" i="113"/>
  <c r="E43" i="113"/>
  <c r="G43" i="113" s="1"/>
  <c r="C45" i="113"/>
  <c r="G45" i="113" s="1"/>
  <c r="G30" i="113"/>
  <c r="G32" i="113"/>
  <c r="G33" i="113"/>
  <c r="F31" i="113"/>
  <c r="F32" i="113"/>
  <c r="F30" i="113"/>
  <c r="D18" i="113"/>
  <c r="F18" i="113" s="1"/>
  <c r="E18" i="113"/>
  <c r="D19" i="113"/>
  <c r="F19" i="113" s="1"/>
  <c r="E19" i="113"/>
  <c r="G19" i="113" s="1"/>
  <c r="D20" i="113"/>
  <c r="E20" i="113"/>
  <c r="E17" i="113"/>
  <c r="G17" i="113" s="1"/>
  <c r="D17" i="113"/>
  <c r="F17" i="113" s="1"/>
  <c r="C18" i="113"/>
  <c r="C31" i="113" s="1"/>
  <c r="G31" i="113" s="1"/>
  <c r="C20" i="113"/>
  <c r="B20" i="113"/>
  <c r="B33" i="113" s="1"/>
  <c r="F33" i="113" s="1"/>
  <c r="C10" i="113"/>
  <c r="D10" i="113"/>
  <c r="E10" i="113"/>
  <c r="C11" i="113"/>
  <c r="D11" i="113"/>
  <c r="E11" i="113"/>
  <c r="C12" i="113"/>
  <c r="D12" i="113"/>
  <c r="E12" i="113"/>
  <c r="C13" i="113"/>
  <c r="D13" i="113"/>
  <c r="E13" i="113"/>
  <c r="F13" i="113"/>
  <c r="B11" i="113"/>
  <c r="B12" i="113"/>
  <c r="B13" i="113"/>
  <c r="B10" i="113"/>
  <c r="G4" i="113"/>
  <c r="G10" i="113" s="1"/>
  <c r="G5" i="113"/>
  <c r="G11" i="113" s="1"/>
  <c r="G6" i="113"/>
  <c r="G12" i="113" s="1"/>
  <c r="G7" i="113"/>
  <c r="G13" i="113" s="1"/>
  <c r="F5" i="113"/>
  <c r="F11" i="113" s="1"/>
  <c r="F6" i="113"/>
  <c r="F12" i="113" s="1"/>
  <c r="F4" i="113"/>
  <c r="F10" i="113" s="1"/>
  <c r="D15" i="113"/>
  <c r="D28" i="113" s="1"/>
  <c r="D41" i="113" s="1"/>
  <c r="B15" i="113"/>
  <c r="B28" i="113" s="1"/>
  <c r="B41" i="113" s="1"/>
  <c r="B27" i="110"/>
  <c r="B26" i="110" s="1"/>
  <c r="B25" i="110" s="1"/>
  <c r="G17" i="110"/>
  <c r="G12" i="110"/>
  <c r="G20" i="113" l="1"/>
  <c r="G18" i="113"/>
  <c r="F20" i="113"/>
  <c r="A24" i="110"/>
  <c r="A19" i="110"/>
  <c r="A16" i="110"/>
  <c r="A21" i="110" s="1"/>
  <c r="A26" i="110" s="1"/>
  <c r="A17" i="110"/>
  <c r="A22" i="110" s="1"/>
  <c r="A27" i="110" s="1"/>
  <c r="A15" i="110"/>
  <c r="A20" i="110" s="1"/>
  <c r="A25" i="110" s="1"/>
  <c r="A14" i="110"/>
  <c r="A9" i="110"/>
  <c r="A29" i="1"/>
  <c r="F8" i="1"/>
  <c r="F9" i="1"/>
  <c r="F10" i="1"/>
  <c r="F11" i="1"/>
  <c r="F12" i="1"/>
  <c r="A26" i="1" s="1"/>
  <c r="F13" i="35"/>
  <c r="D49" i="35" s="1"/>
  <c r="D9" i="1"/>
  <c r="F14" i="35"/>
  <c r="D50" i="35" s="1"/>
  <c r="A76" i="1" s="1"/>
  <c r="D10" i="1"/>
  <c r="F15" i="35"/>
  <c r="D51" i="35" s="1"/>
  <c r="A77" i="1" s="1"/>
  <c r="D11" i="1"/>
  <c r="F16" i="35"/>
  <c r="D52" i="35" s="1"/>
  <c r="A78" i="1" s="1"/>
  <c r="D12" i="1"/>
  <c r="F17" i="35"/>
  <c r="F12" i="35"/>
  <c r="D48" i="35" s="1"/>
  <c r="B13" i="35"/>
  <c r="F66" i="35" s="1"/>
  <c r="B14" i="35"/>
  <c r="F67" i="35" s="1"/>
  <c r="B15" i="35"/>
  <c r="B51" i="35" s="1"/>
  <c r="C12" i="90"/>
  <c r="D12" i="90"/>
  <c r="C13" i="90"/>
  <c r="D13" i="90"/>
  <c r="C14" i="90"/>
  <c r="D14" i="90"/>
  <c r="C15" i="90"/>
  <c r="D15" i="90"/>
  <c r="C16" i="90"/>
  <c r="D16" i="90"/>
  <c r="D11" i="90"/>
  <c r="C11" i="90"/>
  <c r="F70" i="35" l="1"/>
  <c r="B53" i="35"/>
  <c r="C40" i="111"/>
  <c r="C43" i="111" s="1"/>
  <c r="D53" i="35"/>
  <c r="A79" i="1" s="1"/>
  <c r="B155" i="35"/>
  <c r="B50" i="35"/>
  <c r="B154" i="35"/>
  <c r="B49" i="35"/>
  <c r="F69" i="35"/>
  <c r="B157" i="35" s="1"/>
  <c r="B52" i="35"/>
  <c r="C9" i="1"/>
  <c r="A9" i="1" s="1"/>
  <c r="E9" i="1" s="1"/>
  <c r="B10" i="1"/>
  <c r="F68" i="35"/>
  <c r="B156" i="35" s="1"/>
  <c r="B9" i="1"/>
  <c r="C7" i="111"/>
  <c r="D41" i="111"/>
  <c r="D43" i="111" s="1"/>
  <c r="C12" i="1"/>
  <c r="C11" i="1"/>
  <c r="A11" i="1" s="1"/>
  <c r="E11" i="1" s="1"/>
  <c r="C10" i="1"/>
  <c r="A10" i="1" s="1"/>
  <c r="E10" i="1" s="1"/>
  <c r="B158" i="35" l="1"/>
  <c r="F80" i="35"/>
  <c r="G9" i="1"/>
  <c r="J19" i="1"/>
  <c r="G10" i="1"/>
  <c r="J20" i="1"/>
  <c r="F77" i="35"/>
  <c r="F87" i="35"/>
  <c r="F86" i="35"/>
  <c r="F76" i="35"/>
  <c r="F78" i="35"/>
  <c r="F88" i="35"/>
  <c r="F79" i="35"/>
  <c r="F89" i="35"/>
  <c r="F90" i="35"/>
  <c r="F27" i="110"/>
  <c r="E27" i="110"/>
  <c r="E26" i="110" s="1"/>
  <c r="E25" i="110" s="1"/>
  <c r="G27" i="110" l="1"/>
  <c r="F26" i="110"/>
  <c r="F25" i="110" s="1"/>
  <c r="C48" i="110"/>
  <c r="C49" i="110"/>
  <c r="C51" i="110"/>
  <c r="C52" i="110"/>
  <c r="C53" i="110"/>
  <c r="C54" i="110"/>
  <c r="C50" i="110"/>
  <c r="H27" i="110" l="1"/>
  <c r="H26" i="110" s="1"/>
  <c r="H25" i="110" s="1"/>
  <c r="G26" i="110"/>
  <c r="G25" i="110" s="1"/>
  <c r="K7" i="77"/>
  <c r="E79" i="35" l="1"/>
  <c r="H12" i="110" l="1"/>
  <c r="J16" i="77" l="1"/>
  <c r="C47" i="1" l="1"/>
  <c r="K6" i="77"/>
  <c r="I16" i="77" s="1"/>
  <c r="K8" i="77"/>
  <c r="K16" i="77" s="1"/>
  <c r="K9" i="77"/>
  <c r="L16" i="77" s="1"/>
  <c r="K10" i="77"/>
  <c r="M16" i="77" s="1"/>
  <c r="K5" i="77"/>
  <c r="H16" i="77" s="1"/>
  <c r="J11" i="77"/>
  <c r="I11" i="77"/>
  <c r="K11" i="77" s="1"/>
  <c r="K12" i="77" s="1"/>
  <c r="N16" i="77" s="1"/>
  <c r="H77" i="1" l="1"/>
  <c r="H76" i="1"/>
  <c r="H83" i="1"/>
  <c r="J83" i="1"/>
  <c r="I84" i="1"/>
  <c r="J84" i="1"/>
  <c r="H84" i="1"/>
  <c r="I83" i="1"/>
  <c r="C74" i="1" l="1"/>
  <c r="C79" i="1"/>
  <c r="D79" i="1" s="1"/>
  <c r="G90" i="35"/>
  <c r="G76" i="1"/>
  <c r="G86" i="35"/>
  <c r="G89" i="35"/>
  <c r="G77" i="1"/>
  <c r="C75" i="1"/>
  <c r="I76" i="1"/>
  <c r="I77" i="1"/>
  <c r="F77" i="1" s="1"/>
  <c r="C78" i="1"/>
  <c r="D78" i="1" s="1"/>
  <c r="C81" i="1"/>
  <c r="G79" i="35"/>
  <c r="G84" i="1"/>
  <c r="G80" i="35"/>
  <c r="G83" i="1"/>
  <c r="F76" i="1" l="1"/>
  <c r="C77" i="1"/>
  <c r="D77" i="1" s="1"/>
  <c r="C76" i="1"/>
  <c r="D76" i="1" s="1"/>
  <c r="G87" i="35"/>
  <c r="F83" i="1"/>
  <c r="G76" i="35"/>
  <c r="G85" i="35"/>
  <c r="G88" i="35"/>
  <c r="F84" i="1"/>
  <c r="G75" i="35"/>
  <c r="D34" i="111"/>
  <c r="C33" i="111"/>
  <c r="C39" i="111" s="1"/>
  <c r="B33" i="111"/>
  <c r="B39" i="111" s="1"/>
  <c r="F16" i="1"/>
  <c r="E16" i="1"/>
  <c r="C84" i="1" l="1"/>
  <c r="D84" i="1" s="1"/>
  <c r="G78" i="35"/>
  <c r="C83" i="1"/>
  <c r="D83" i="1" s="1"/>
  <c r="G77" i="35"/>
  <c r="G22" i="110"/>
  <c r="H22" i="110" s="1"/>
  <c r="G3" i="110" l="1"/>
  <c r="H3" i="110"/>
  <c r="B1" i="110"/>
  <c r="B5" i="110" s="1"/>
  <c r="E19" i="1" s="1"/>
  <c r="D6" i="110" l="1"/>
  <c r="E7" i="110"/>
  <c r="D5" i="110"/>
  <c r="E21" i="1" s="1"/>
  <c r="F5" i="110"/>
  <c r="E25" i="1" s="1"/>
  <c r="G5" i="110"/>
  <c r="H6" i="110"/>
  <c r="B7" i="110"/>
  <c r="B6" i="110"/>
  <c r="C6" i="110"/>
  <c r="E6" i="110"/>
  <c r="F7" i="110"/>
  <c r="E5" i="110"/>
  <c r="E24" i="1" s="1"/>
  <c r="F6" i="110"/>
  <c r="G7" i="110"/>
  <c r="G6" i="110"/>
  <c r="H7" i="110"/>
  <c r="B4" i="110"/>
  <c r="E4" i="110"/>
  <c r="D4" i="110"/>
  <c r="F4" i="110"/>
  <c r="G4" i="110"/>
  <c r="H4" i="110"/>
  <c r="C4" i="110"/>
  <c r="C5" i="110"/>
  <c r="E20" i="1" s="1"/>
  <c r="C20" i="118" l="1"/>
  <c r="E31" i="118"/>
  <c r="C23" i="118"/>
  <c r="F78" i="111"/>
  <c r="D19" i="118"/>
  <c r="D18" i="118"/>
  <c r="C24" i="118"/>
  <c r="D24" i="118" s="1"/>
  <c r="F35" i="111"/>
  <c r="H5" i="110"/>
  <c r="C27" i="110"/>
  <c r="E28" i="1" l="1"/>
  <c r="E36" i="1" s="1"/>
  <c r="D78" i="111"/>
  <c r="D79" i="111" s="1"/>
  <c r="C78" i="111"/>
  <c r="C79" i="111" s="1"/>
  <c r="C26" i="110"/>
  <c r="C25" i="110" s="1"/>
  <c r="C7" i="110" s="1"/>
  <c r="B48" i="111"/>
  <c r="D23" i="118"/>
  <c r="D29" i="118"/>
  <c r="D28" i="118"/>
  <c r="D30" i="118"/>
  <c r="F55" i="111"/>
  <c r="D20" i="118"/>
  <c r="E26" i="1"/>
  <c r="E29" i="1"/>
  <c r="E27" i="1"/>
  <c r="D35" i="111"/>
  <c r="D36" i="111" s="1"/>
  <c r="C35" i="111"/>
  <c r="C36" i="111" s="1"/>
  <c r="D55" i="1" s="1"/>
  <c r="H17" i="110"/>
  <c r="D27" i="110"/>
  <c r="D53" i="118" l="1"/>
  <c r="C71" i="111"/>
  <c r="C73" i="111" s="1"/>
  <c r="C60" i="111"/>
  <c r="F11" i="111"/>
  <c r="D31" i="118"/>
  <c r="D26" i="118"/>
  <c r="D43" i="118" s="1"/>
  <c r="D44" i="118" s="1"/>
  <c r="C54" i="111"/>
  <c r="C56" i="111" s="1"/>
  <c r="D49" i="118" s="1"/>
  <c r="C64" i="111"/>
  <c r="C65" i="111" s="1"/>
  <c r="D51" i="118" s="1"/>
  <c r="D54" i="111"/>
  <c r="D64" i="111"/>
  <c r="D65" i="111" s="1"/>
  <c r="D71" i="111"/>
  <c r="D59" i="111"/>
  <c r="C59" i="111"/>
  <c r="B61" i="111"/>
  <c r="D60" i="111"/>
  <c r="D26" i="110"/>
  <c r="D25" i="110" s="1"/>
  <c r="D7" i="110" s="1"/>
  <c r="D72" i="111"/>
  <c r="D55" i="111"/>
  <c r="H8" i="112"/>
  <c r="J8" i="112" s="1"/>
  <c r="K8" i="112" s="1"/>
  <c r="H7" i="112"/>
  <c r="J7" i="112" s="1"/>
  <c r="H6" i="112"/>
  <c r="J6" i="112" s="1"/>
  <c r="C18" i="35"/>
  <c r="D32" i="118" l="1"/>
  <c r="D36" i="118" s="1"/>
  <c r="D73" i="111"/>
  <c r="D52" i="118" s="1"/>
  <c r="D61" i="111"/>
  <c r="D56" i="111"/>
  <c r="C61" i="111"/>
  <c r="D50" i="118" s="1"/>
  <c r="K7" i="112"/>
  <c r="B1" i="111"/>
  <c r="D29" i="1"/>
  <c r="D87" i="1"/>
  <c r="C85" i="35" s="1"/>
  <c r="H188" i="35" s="1"/>
  <c r="A82" i="1"/>
  <c r="C92" i="1"/>
  <c r="A81" i="1"/>
  <c r="D81" i="1" s="1"/>
  <c r="Q12" i="1"/>
  <c r="Q13" i="1" s="1"/>
  <c r="B52" i="1"/>
  <c r="B51" i="1"/>
  <c r="C8" i="1"/>
  <c r="B8" i="1"/>
  <c r="G8" i="1" s="1"/>
  <c r="B11" i="1"/>
  <c r="B12" i="1"/>
  <c r="B55" i="1"/>
  <c r="B54" i="1"/>
  <c r="D25" i="111"/>
  <c r="D33" i="111" s="1"/>
  <c r="D39" i="111" s="1"/>
  <c r="C14" i="111"/>
  <c r="C25" i="111" s="1"/>
  <c r="B14" i="111"/>
  <c r="B25" i="111" s="1"/>
  <c r="B12" i="111"/>
  <c r="D8" i="1"/>
  <c r="B10" i="90"/>
  <c r="D55" i="118" l="1"/>
  <c r="C70" i="117" s="1"/>
  <c r="D38" i="118"/>
  <c r="D35" i="118"/>
  <c r="C67" i="117"/>
  <c r="D37" i="118"/>
  <c r="G11" i="1"/>
  <c r="J21" i="1"/>
  <c r="G12" i="1"/>
  <c r="J22" i="1"/>
  <c r="D26" i="1"/>
  <c r="J18" i="1"/>
  <c r="A8" i="1"/>
  <c r="E8" i="1" s="1"/>
  <c r="A12" i="1"/>
  <c r="D39" i="118" l="1"/>
  <c r="C68" i="117" s="1"/>
  <c r="E12" i="1"/>
  <c r="A27" i="1" s="1"/>
  <c r="A75" i="1"/>
  <c r="C69" i="117" l="1"/>
  <c r="H178" i="117" s="1"/>
  <c r="D46" i="118"/>
  <c r="D64" i="118" s="1"/>
  <c r="C74" i="117" s="1"/>
  <c r="C75" i="117" l="1"/>
  <c r="H179" i="117" s="1"/>
  <c r="D66" i="118"/>
  <c r="G9" i="118" s="1"/>
  <c r="F85" i="35"/>
  <c r="B3" i="77"/>
  <c r="G7" i="118" l="1"/>
  <c r="G8" i="118"/>
  <c r="C76" i="117"/>
  <c r="H177" i="117" s="1"/>
  <c r="G189" i="117" s="1"/>
  <c r="G11" i="118"/>
  <c r="G12" i="118"/>
  <c r="H12" i="118" s="1"/>
  <c r="C12" i="118" s="1"/>
  <c r="G10" i="118"/>
  <c r="G46" i="118"/>
  <c r="G63" i="118"/>
  <c r="D3" i="77"/>
  <c r="E3" i="77"/>
  <c r="D27" i="1"/>
  <c r="L12" i="1" s="1"/>
  <c r="J11" i="118" l="1"/>
  <c r="K11" i="118" s="1"/>
  <c r="I13" i="118"/>
  <c r="I12" i="118" s="1"/>
  <c r="J12" i="118" s="1"/>
  <c r="E12" i="118"/>
  <c r="D12" i="118"/>
  <c r="G68" i="117"/>
  <c r="H68" i="117" s="1"/>
  <c r="I95" i="118"/>
  <c r="I11" i="118"/>
  <c r="J17" i="77"/>
  <c r="N17" i="77"/>
  <c r="H17" i="77"/>
  <c r="H18" i="77" s="1"/>
  <c r="I17" i="77"/>
  <c r="K17" i="77"/>
  <c r="L17" i="77"/>
  <c r="M17" i="77"/>
  <c r="D7" i="1"/>
  <c r="C7" i="1"/>
  <c r="H9" i="118" l="1"/>
  <c r="C9" i="118" s="1"/>
  <c r="I92" i="118" s="1"/>
  <c r="H7" i="118"/>
  <c r="C7" i="118" s="1"/>
  <c r="E7" i="118" s="1"/>
  <c r="I68" i="117"/>
  <c r="H8" i="118"/>
  <c r="C8" i="118" s="1"/>
  <c r="E8" i="118" s="1"/>
  <c r="H10" i="118"/>
  <c r="C10" i="118" s="1"/>
  <c r="D10" i="118" s="1"/>
  <c r="H11" i="118"/>
  <c r="C11" i="118" s="1"/>
  <c r="I94" i="118" s="1"/>
  <c r="I77" i="117"/>
  <c r="I86" i="117"/>
  <c r="D9" i="118"/>
  <c r="G65" i="117"/>
  <c r="F7" i="1"/>
  <c r="A24" i="1" s="1"/>
  <c r="E9" i="118" l="1"/>
  <c r="D7" i="118"/>
  <c r="G63" i="117"/>
  <c r="I63" i="117" s="1"/>
  <c r="I91" i="118"/>
  <c r="I90" i="118"/>
  <c r="D8" i="118"/>
  <c r="G66" i="117"/>
  <c r="I66" i="117" s="1"/>
  <c r="G67" i="117"/>
  <c r="I67" i="117" s="1"/>
  <c r="G64" i="117"/>
  <c r="H64" i="117" s="1"/>
  <c r="I93" i="118"/>
  <c r="D11" i="118"/>
  <c r="E11" i="118"/>
  <c r="E10" i="118"/>
  <c r="H65" i="117"/>
  <c r="I65" i="117"/>
  <c r="D24" i="1"/>
  <c r="E34" i="1"/>
  <c r="E33" i="1"/>
  <c r="H67" i="117" l="1"/>
  <c r="H63" i="117"/>
  <c r="E13" i="118"/>
  <c r="I96" i="118"/>
  <c r="I97" i="118" s="1"/>
  <c r="H66" i="117"/>
  <c r="I75" i="117" s="1"/>
  <c r="I64" i="117"/>
  <c r="I74" i="117"/>
  <c r="I83" i="117"/>
  <c r="I82" i="117"/>
  <c r="I73" i="117"/>
  <c r="I85" i="117"/>
  <c r="I76" i="117"/>
  <c r="I72" i="117"/>
  <c r="I81" i="117"/>
  <c r="A74" i="1"/>
  <c r="F18" i="35"/>
  <c r="I84" i="117" l="1"/>
  <c r="D54" i="35"/>
  <c r="C55" i="35"/>
  <c r="B7" i="111"/>
  <c r="B2" i="77"/>
  <c r="F13" i="1"/>
  <c r="B5" i="111" s="1"/>
  <c r="D29" i="111" s="1"/>
  <c r="C28" i="111" l="1"/>
  <c r="D28" i="111"/>
  <c r="D55" i="35"/>
  <c r="D73" i="1"/>
  <c r="D2" i="77"/>
  <c r="E2" i="77"/>
  <c r="B16" i="77"/>
  <c r="B17" i="77"/>
  <c r="B25" i="77"/>
  <c r="B6" i="77"/>
  <c r="B20" i="77"/>
  <c r="B15" i="77"/>
  <c r="B8" i="77"/>
  <c r="D27" i="111"/>
  <c r="C27" i="111"/>
  <c r="B30" i="111"/>
  <c r="E42" i="111"/>
  <c r="E43" i="111" s="1"/>
  <c r="D56" i="1" s="1"/>
  <c r="C26" i="111"/>
  <c r="D26" i="111"/>
  <c r="C10" i="111"/>
  <c r="C12" i="111" s="1"/>
  <c r="D51" i="1" s="1"/>
  <c r="D11" i="111"/>
  <c r="D10" i="111"/>
  <c r="K11" i="111"/>
  <c r="B23" i="77"/>
  <c r="B21" i="77"/>
  <c r="B22" i="77"/>
  <c r="B2" i="111"/>
  <c r="C20" i="111" s="1"/>
  <c r="B24" i="77"/>
  <c r="C44" i="1"/>
  <c r="E21" i="77" l="1"/>
  <c r="D21" i="77"/>
  <c r="D15" i="77"/>
  <c r="E15" i="77"/>
  <c r="E23" i="77"/>
  <c r="D23" i="77"/>
  <c r="E20" i="77"/>
  <c r="D20" i="77"/>
  <c r="D6" i="77"/>
  <c r="E6" i="77"/>
  <c r="B38" i="77"/>
  <c r="E25" i="77"/>
  <c r="D25" i="77"/>
  <c r="D17" i="77"/>
  <c r="E17" i="77"/>
  <c r="D24" i="77"/>
  <c r="E24" i="77"/>
  <c r="E16" i="77"/>
  <c r="D16" i="77"/>
  <c r="D22" i="77"/>
  <c r="E22" i="77"/>
  <c r="E8" i="77"/>
  <c r="D8" i="77"/>
  <c r="D12" i="111"/>
  <c r="D30" i="111"/>
  <c r="C30" i="111"/>
  <c r="D54" i="1" s="1"/>
  <c r="C22" i="111"/>
  <c r="D53" i="1" s="1"/>
  <c r="D20" i="111"/>
  <c r="B39" i="77"/>
  <c r="D60" i="1" s="1"/>
  <c r="C82" i="35"/>
  <c r="H185" i="35" s="1"/>
  <c r="B7" i="1"/>
  <c r="J17" i="1" s="1"/>
  <c r="E39" i="77" l="1"/>
  <c r="D39" i="77"/>
  <c r="E38" i="77"/>
  <c r="D38" i="77"/>
  <c r="G7" i="1"/>
  <c r="A7" i="1"/>
  <c r="A13" i="1" s="1"/>
  <c r="D61" i="1" s="1"/>
  <c r="O9" i="1" l="1"/>
  <c r="A21" i="1"/>
  <c r="D21" i="1" s="1"/>
  <c r="A20" i="1"/>
  <c r="A19" i="1"/>
  <c r="E7" i="1"/>
  <c r="O10" i="1" l="1"/>
  <c r="O7" i="1"/>
  <c r="O8" i="1"/>
  <c r="O11" i="1"/>
  <c r="O12" i="1"/>
  <c r="C75" i="35"/>
  <c r="A28" i="1"/>
  <c r="A25" i="1"/>
  <c r="D25" i="1" s="1"/>
  <c r="D20" i="1"/>
  <c r="E13" i="1"/>
  <c r="O13" i="1" l="1"/>
  <c r="L10" i="1"/>
  <c r="L8" i="1"/>
  <c r="L11" i="1"/>
  <c r="L7" i="1"/>
  <c r="L9" i="1"/>
  <c r="D33" i="1"/>
  <c r="A18" i="1"/>
  <c r="D35" i="1" s="1"/>
  <c r="D34" i="1"/>
  <c r="C76" i="35"/>
  <c r="A30" i="1"/>
  <c r="C67" i="35"/>
  <c r="B3" i="111"/>
  <c r="B4" i="111"/>
  <c r="D28" i="1"/>
  <c r="B31" i="77"/>
  <c r="D19" i="1"/>
  <c r="D22" i="1" s="1"/>
  <c r="L13" i="1" l="1"/>
  <c r="B40" i="77"/>
  <c r="D59" i="1" s="1"/>
  <c r="E31" i="77"/>
  <c r="D31" i="77"/>
  <c r="D21" i="111"/>
  <c r="D22" i="111" s="1"/>
  <c r="C16" i="111"/>
  <c r="C15" i="111"/>
  <c r="D15" i="111"/>
  <c r="D16" i="111"/>
  <c r="D46" i="1"/>
  <c r="D36" i="1"/>
  <c r="M8" i="1" s="1"/>
  <c r="K12" i="1"/>
  <c r="K9" i="1"/>
  <c r="K10" i="1"/>
  <c r="B34" i="77"/>
  <c r="B35" i="77" s="1"/>
  <c r="C66" i="35"/>
  <c r="D30" i="1"/>
  <c r="D31" i="1" s="1"/>
  <c r="D47" i="1" s="1"/>
  <c r="K8" i="1"/>
  <c r="K11" i="1"/>
  <c r="K7" i="1"/>
  <c r="D40" i="77" l="1"/>
  <c r="D34" i="77"/>
  <c r="E34" i="77"/>
  <c r="E40" i="77"/>
  <c r="M9" i="1"/>
  <c r="M11" i="1"/>
  <c r="M10" i="1"/>
  <c r="M12" i="1"/>
  <c r="M7" i="1"/>
  <c r="K13" i="1"/>
  <c r="D17" i="111"/>
  <c r="B17" i="111"/>
  <c r="C17" i="111"/>
  <c r="I28" i="1"/>
  <c r="B36" i="77"/>
  <c r="D38" i="1"/>
  <c r="D41" i="1" s="1"/>
  <c r="C74" i="35" l="1"/>
  <c r="D52" i="1"/>
  <c r="D57" i="1" s="1"/>
  <c r="E36" i="77"/>
  <c r="E35" i="77"/>
  <c r="D36" i="77"/>
  <c r="D35" i="77"/>
  <c r="D40" i="1"/>
  <c r="C70" i="35"/>
  <c r="M13" i="1"/>
  <c r="D42" i="1"/>
  <c r="C73" i="35" l="1"/>
  <c r="D63" i="1"/>
  <c r="D43" i="1"/>
  <c r="D44" i="1" s="1"/>
  <c r="N10" i="1" l="1"/>
  <c r="N9" i="1"/>
  <c r="N12" i="1"/>
  <c r="N11" i="1"/>
  <c r="N7" i="1"/>
  <c r="N8" i="1"/>
  <c r="H41" i="1" a="1"/>
  <c r="H41" i="1" s="1"/>
  <c r="D48" i="1" l="1"/>
  <c r="C71" i="35"/>
  <c r="C72" i="35" s="1"/>
  <c r="H182" i="35" s="1"/>
  <c r="N13" i="1" l="1"/>
  <c r="D65" i="1"/>
  <c r="P12" i="1" s="1"/>
  <c r="P11" i="1" l="1"/>
  <c r="R11" i="1" s="1"/>
  <c r="P10" i="1"/>
  <c r="R10" i="1" s="1"/>
  <c r="P9" i="1"/>
  <c r="R9" i="1" s="1"/>
  <c r="P8" i="1"/>
  <c r="P7" i="1"/>
  <c r="R7" i="1" s="1"/>
  <c r="D67" i="1"/>
  <c r="C77" i="35"/>
  <c r="C78" i="35" s="1"/>
  <c r="C79" i="35" l="1"/>
  <c r="H181" i="35" s="1"/>
  <c r="G193" i="35" s="1"/>
  <c r="H183" i="35"/>
  <c r="S9" i="1"/>
  <c r="S10" i="1"/>
  <c r="E48" i="1"/>
  <c r="P13" i="1"/>
  <c r="R13" i="1" s="1"/>
  <c r="R12" i="1"/>
  <c r="T12" i="1"/>
  <c r="U12" i="1" s="1"/>
  <c r="V12" i="1" s="1"/>
  <c r="H12" i="1" s="1"/>
  <c r="K22" i="1" s="1"/>
  <c r="E63" i="1"/>
  <c r="S7" i="1"/>
  <c r="R8" i="1"/>
  <c r="I12" i="1" l="1"/>
  <c r="G70" i="35"/>
  <c r="T10" i="1"/>
  <c r="U10" i="1" s="1"/>
  <c r="V10" i="1" s="1"/>
  <c r="H10" i="1" s="1"/>
  <c r="K20" i="1" s="1"/>
  <c r="T9" i="1"/>
  <c r="U9" i="1" s="1"/>
  <c r="V9" i="1" s="1"/>
  <c r="H9" i="1" s="1"/>
  <c r="K19" i="1" s="1"/>
  <c r="T11" i="1"/>
  <c r="U11" i="1" s="1"/>
  <c r="V11" i="1" s="1"/>
  <c r="H11" i="1" s="1"/>
  <c r="K21" i="1" s="1"/>
  <c r="T7" i="1"/>
  <c r="S12" i="1"/>
  <c r="S11" i="1"/>
  <c r="S8" i="1"/>
  <c r="T8" i="1"/>
  <c r="U8" i="1" s="1"/>
  <c r="V8" i="1" s="1"/>
  <c r="H8" i="1" s="1"/>
  <c r="K18" i="1" s="1"/>
  <c r="I11" i="1" l="1"/>
  <c r="G69" i="35"/>
  <c r="I9" i="1"/>
  <c r="G67" i="35"/>
  <c r="I8" i="1"/>
  <c r="G66" i="35"/>
  <c r="I10" i="1"/>
  <c r="G68" i="35"/>
  <c r="I68" i="35" s="1"/>
  <c r="H70" i="35"/>
  <c r="I70" i="35"/>
  <c r="U7" i="1"/>
  <c r="V7" i="1" s="1"/>
  <c r="H7" i="1" s="1"/>
  <c r="K17" i="1" s="1"/>
  <c r="K23" i="1" s="1"/>
  <c r="K24" i="1" s="1"/>
  <c r="H80" i="35" l="1"/>
  <c r="H90" i="35"/>
  <c r="H69" i="35"/>
  <c r="I69" i="35"/>
  <c r="H68" i="35"/>
  <c r="G65" i="35"/>
  <c r="I7" i="1"/>
  <c r="H79" i="35" l="1"/>
  <c r="H89" i="35"/>
  <c r="H88" i="35"/>
  <c r="H78" i="35"/>
  <c r="I67" i="35"/>
  <c r="H67" i="35"/>
  <c r="I65" i="35"/>
  <c r="H65" i="35"/>
  <c r="C82" i="1"/>
  <c r="D82" i="1" s="1"/>
  <c r="D74" i="1"/>
  <c r="D75" i="1"/>
  <c r="C86" i="1"/>
  <c r="D86" i="1" s="1"/>
  <c r="C85" i="1"/>
  <c r="D85" i="1" s="1"/>
  <c r="H85" i="35" l="1"/>
  <c r="H75" i="35"/>
  <c r="H77" i="35"/>
  <c r="H87" i="35"/>
  <c r="C84" i="35"/>
  <c r="H187" i="35" s="1"/>
  <c r="D88" i="1"/>
  <c r="D91" i="1" s="1"/>
  <c r="D92" i="1" l="1"/>
  <c r="C88" i="35" s="1"/>
  <c r="H66" i="35"/>
  <c r="I66" i="35"/>
  <c r="H86" i="35" l="1"/>
  <c r="H76" i="35"/>
  <c r="A72" i="1" l="1"/>
  <c r="C83" i="35" l="1"/>
  <c r="C86" i="35" l="1"/>
  <c r="H184" i="35" s="1"/>
  <c r="H186" i="35"/>
  <c r="H189" i="35"/>
  <c r="H193" i="35" l="1"/>
  <c r="D93" i="1"/>
  <c r="D94" i="1" s="1"/>
  <c r="E94" i="1" l="1"/>
  <c r="C90" i="35"/>
  <c r="C92" i="35" l="1"/>
  <c r="D88" i="118"/>
  <c r="D91" i="118" l="1"/>
  <c r="C83" i="117"/>
  <c r="H180" i="117" s="1"/>
  <c r="D92" i="118" l="1"/>
  <c r="D93" i="118" s="1"/>
  <c r="D94" i="118" s="1"/>
  <c r="E94" i="118" s="1"/>
  <c r="C89" i="117" s="1"/>
  <c r="C85" i="117" l="1"/>
  <c r="H185" i="117" s="1"/>
  <c r="H189" i="117" s="1"/>
  <c r="C87" i="1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Anne Mitchell</author>
    <author>Simon Workman</author>
  </authors>
  <commentList>
    <comment ref="B59" authorId="0" shapeId="0" xr:uid="{00000000-0006-0000-0100-000008000000}">
      <text>
        <r>
          <rPr>
            <sz val="9"/>
            <color rgb="FF000000"/>
            <rFont val="Tahoma"/>
            <family val="2"/>
          </rPr>
          <t xml:space="preserve">Education/Program - Child (e.g., food/food related, classroom/child supplies, laundry, tuition assistance, parent activities, field trips, family transportation)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Education/Program - Staff (e.g., prof consultants, trainings/prof development, staff travel)
</t>
        </r>
      </text>
    </comment>
    <comment ref="B60" authorId="0" shapeId="0" xr:uid="{00000000-0006-0000-0100-000009000000}">
      <text>
        <r>
          <rPr>
            <sz val="9"/>
            <color rgb="FF000000"/>
            <rFont val="Tahoma"/>
            <family val="2"/>
          </rPr>
          <t>Occupancy (e.g., rent/mortgage, real estate taxes, other occupancy, maintenance, janitorial)</t>
        </r>
      </text>
    </comment>
    <comment ref="B61" authorId="0" shapeId="0" xr:uid="{00000000-0006-0000-0100-00000A000000}">
      <text>
        <r>
          <rPr>
            <sz val="9"/>
            <color rgb="FF000000"/>
            <rFont val="Tahoma"/>
            <family val="2"/>
          </rPr>
          <t>Program Management (e.g., office supplies, telelphone, internet, insurance, legal and professional fees, permits, fundraising, memberships, administration fees)</t>
        </r>
      </text>
    </comment>
    <comment ref="F79" authorId="1" shapeId="0" xr:uid="{7BB0F098-0C34-DE44-8322-056F0248C206}">
      <text>
        <r>
          <rPr>
            <b/>
            <sz val="10"/>
            <color rgb="FF000000"/>
            <rFont val="Tahoma"/>
            <family val="2"/>
          </rPr>
          <t>Simon Workman: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adjusted to 60%</t>
        </r>
      </text>
    </comment>
    <comment ref="F86" authorId="1" shapeId="0" xr:uid="{21008DF2-D956-074D-9145-86B110069452}">
      <text>
        <r>
          <rPr>
            <b/>
            <sz val="10"/>
            <color rgb="FF000000"/>
            <rFont val="Tahoma"/>
            <family val="2"/>
          </rPr>
          <t>Simon Workman: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60% of total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 Workman</author>
  </authors>
  <commentList>
    <comment ref="F79" authorId="0" shapeId="0" xr:uid="{E6507A89-4B2E-4342-81C8-A26B89DE835B}">
      <text>
        <r>
          <rPr>
            <b/>
            <sz val="10"/>
            <color rgb="FF000000"/>
            <rFont val="Tahoma"/>
            <family val="2"/>
          </rPr>
          <t>Simon Workman: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adjusted to 60%</t>
        </r>
      </text>
    </comment>
    <comment ref="F86" authorId="0" shapeId="0" xr:uid="{0C966D33-53C6-E146-AE12-B3C55E062451}">
      <text>
        <r>
          <rPr>
            <b/>
            <sz val="10"/>
            <color rgb="FF000000"/>
            <rFont val="Tahoma"/>
            <family val="2"/>
          </rPr>
          <t>Simon Workman: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60% of total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<sst xmlns="http://schemas.openxmlformats.org/spreadsheetml/2006/main" count="1218" uniqueCount="615">
  <si>
    <t>Modelo de costos de cuidado infantil de Nebraska  - 2024</t>
  </si>
  <si>
    <t>Licencia</t>
  </si>
  <si>
    <t>NAEYC</t>
  </si>
  <si>
    <t>CFOC</t>
  </si>
  <si>
    <t>Usuario ingresado</t>
  </si>
  <si>
    <t>Licensing</t>
  </si>
  <si>
    <t>Best</t>
  </si>
  <si>
    <t>EHS</t>
  </si>
  <si>
    <t>Aspirational</t>
  </si>
  <si>
    <r>
      <t xml:space="preserve">Los elementos en las celdas sombreadas en AMARILLO son para ENTRADA para modelar diferentes 'perfiles' de centro.   </t>
    </r>
    <r>
      <rPr>
        <b/>
        <sz val="11"/>
        <color rgb="FFFF0000"/>
        <rFont val="Arial"/>
        <family val="2"/>
      </rPr>
      <t>Por favor no cambie ninguna otra celda en esta hoja</t>
    </r>
  </si>
  <si>
    <r>
      <t xml:space="preserve">Los elementos en las celdas sombreadas en VERDE son para ENTRADA para modelar diferentes variables.  </t>
    </r>
    <r>
      <rPr>
        <b/>
        <sz val="11"/>
        <color rgb="FFFF0000"/>
        <rFont val="Arial"/>
        <family val="2"/>
      </rPr>
      <t>Por favor no cambie ninguna otra celda en esta hoja</t>
    </r>
  </si>
  <si>
    <t>Point 2</t>
  </si>
  <si>
    <t>REGIÓN</t>
  </si>
  <si>
    <t>En todo el estado</t>
  </si>
  <si>
    <t>seleccionar del menú desplegable</t>
  </si>
  <si>
    <t>Urbano</t>
  </si>
  <si>
    <t>Rural</t>
  </si>
  <si>
    <t>TAMAÑO del CENTRO</t>
  </si>
  <si>
    <t>Reglas de proporción y tamaño del grupo</t>
  </si>
  <si>
    <t>Edad</t>
  </si>
  <si>
    <t>Numero de aulas</t>
  </si>
  <si>
    <t>Proporciones</t>
  </si>
  <si>
    <t>Tamaño del grupo</t>
  </si>
  <si>
    <t># Niños/Edad</t>
  </si>
  <si>
    <r>
      <rPr>
        <sz val="10"/>
        <rFont val="Arial"/>
        <family val="2"/>
      </rPr>
      <t>Usuario ingresado</t>
    </r>
    <r>
      <rPr>
        <b/>
        <sz val="10"/>
        <rFont val="Arial"/>
        <family val="2"/>
      </rPr>
      <t xml:space="preserve"> PROPORCIONES</t>
    </r>
  </si>
  <si>
    <r>
      <rPr>
        <sz val="10"/>
        <rFont val="Arial"/>
        <family val="2"/>
      </rPr>
      <t>Usuario ingresado</t>
    </r>
    <r>
      <rPr>
        <b/>
        <sz val="10"/>
        <rFont val="Arial"/>
        <family val="2"/>
      </rPr>
      <t>Tamaño del grupo</t>
    </r>
  </si>
  <si>
    <t>Para anular la proporción predeterminada y el tamaño del grupo, ingrese nuevos valores en las columnas H e I aquí -----&gt;</t>
  </si>
  <si>
    <t>User Entered</t>
  </si>
  <si>
    <t># TOTAL de aulas</t>
  </si>
  <si>
    <t># TOTAL de niños</t>
  </si>
  <si>
    <t>BLS ($15 MW Adj)</t>
  </si>
  <si>
    <t>Salario digno</t>
  </si>
  <si>
    <t>SALARIOS</t>
  </si>
  <si>
    <t>Paridad de kindergarten</t>
  </si>
  <si>
    <t>Fuente de datos salariales</t>
  </si>
  <si>
    <t>Si el usuario agrega, ingrese manualmente los salarios en la tabla a la derecha---------------&gt;</t>
  </si>
  <si>
    <t>Anulación de salario</t>
  </si>
  <si>
    <t>Posición</t>
  </si>
  <si>
    <t>Salarial annual</t>
  </si>
  <si>
    <t>Maestra principal</t>
  </si>
  <si>
    <t>Maestra asistente</t>
  </si>
  <si>
    <t>Beneficios</t>
  </si>
  <si>
    <t>Directora de programa</t>
  </si>
  <si>
    <t>Seguro de salud</t>
  </si>
  <si>
    <t>Si</t>
  </si>
  <si>
    <t>Seleccione el monto por empleado de beneficios discrecionales</t>
  </si>
  <si>
    <t>No</t>
  </si>
  <si>
    <t>Beneficios de jubilación</t>
  </si>
  <si>
    <t>ingrese el porcentaje del salario pagado en beneficios</t>
  </si>
  <si>
    <t>Dias de enfermedad</t>
  </si>
  <si>
    <t>ingrese el número anual de días por miembro del personal</t>
  </si>
  <si>
    <t>Vacaciones pagadas</t>
  </si>
  <si>
    <t>ingrese el número anual de días por miembro del personal, sin incluir los días festivos en los que el programa está cerrado</t>
  </si>
  <si>
    <t>Mejoras del programa: generadores de costos adicionales</t>
  </si>
  <si>
    <t>Selecciona el nivel</t>
  </si>
  <si>
    <t>Participación de familias</t>
  </si>
  <si>
    <t>Cumple con los estándares de licencia</t>
  </si>
  <si>
    <t>1 conferencia por año</t>
  </si>
  <si>
    <t>2 conferencias por año + Especialista de participación familiar</t>
  </si>
  <si>
    <t>Apoyos al desarrollo profesional</t>
  </si>
  <si>
    <t>Cumple con los estándares de licencia (12 horas)</t>
  </si>
  <si>
    <t>24 horas por año</t>
  </si>
  <si>
    <t>36 horas por año</t>
  </si>
  <si>
    <t>Planificación del tiempo de lanzamiento</t>
  </si>
  <si>
    <t>5 horas/semana/aula</t>
  </si>
  <si>
    <t>13 horas/semana/aula</t>
  </si>
  <si>
    <t>Materiales educativos y plan de estudios</t>
  </si>
  <si>
    <t>Materiales ($250)</t>
  </si>
  <si>
    <t>Currículo + materiales ($350) + evaluación</t>
  </si>
  <si>
    <t>Currículo + materiales ($450) + evaluación + evaluación de Desarrollo + Coordinador de educación</t>
  </si>
  <si>
    <t>Transportación</t>
  </si>
  <si>
    <t>Ninguno</t>
  </si>
  <si>
    <t>(ingrese el porcentaje de niños elegibles que utilizan transporte)</t>
  </si>
  <si>
    <t>Edad escolar</t>
  </si>
  <si>
    <t>4-5 años de edad + Edad escolar</t>
  </si>
  <si>
    <t>Todos los niños</t>
  </si>
  <si>
    <t>Materiales de inclusión</t>
  </si>
  <si>
    <t>$250 por niño materiales</t>
  </si>
  <si>
    <t>$375 por niño materiales</t>
  </si>
  <si>
    <t>Apoyos de inclusión y asistente de instrucción</t>
  </si>
  <si>
    <t>Licensia (Referencias)</t>
  </si>
  <si>
    <t xml:space="preserve">
(ingrese el número de niños con IEP/IFSP)</t>
  </si>
  <si>
    <t>Asistente de inclusión - 1:8</t>
  </si>
  <si>
    <t>Asistente de inclusión - 1:4</t>
  </si>
  <si>
    <t>EFICIENCA</t>
  </si>
  <si>
    <t>Matrícula como % de la capacidad total con personal</t>
  </si>
  <si>
    <t>85-95% es típico</t>
  </si>
  <si>
    <t>Deuda incobrable como % de los ingresos no recaudados</t>
  </si>
  <si>
    <t>Alrededor del 3% es típico</t>
  </si>
  <si>
    <t>GANANCIA</t>
  </si>
  <si>
    <t>Ingrese el número de niños por edad que reciben cada tipo de subsidio usando las celdas AMARILLAS únicamente en la siguiente tabla. La celda de matrícula privada se calculará automáticamente y no debe ser negativa.</t>
  </si>
  <si>
    <t>Subsidio de cuidado infantil</t>
  </si>
  <si>
    <t>Matrícula privada</t>
  </si>
  <si>
    <t>Acc/Step 3</t>
  </si>
  <si>
    <t>Step 4</t>
  </si>
  <si>
    <t>Step 5</t>
  </si>
  <si>
    <t xml:space="preserve">Usuario ingresado- Matrícula </t>
  </si>
  <si>
    <t>Total</t>
  </si>
  <si>
    <t>Matrícula mensual</t>
  </si>
  <si>
    <t>Porcentaje del total</t>
  </si>
  <si>
    <t>Infantes  (0-18 meses)</t>
  </si>
  <si>
    <t>Niños pequeños (18-36 meses)</t>
  </si>
  <si>
    <t>Ingresos adicionales</t>
  </si>
  <si>
    <t>p.ej. subvenciones, donaciones</t>
  </si>
  <si>
    <t>2 años de edad</t>
  </si>
  <si>
    <t>3 años de edad</t>
  </si>
  <si>
    <t>Nivel de reembolso escalonado del subsidio</t>
  </si>
  <si>
    <t>4-5 años de edad</t>
  </si>
  <si>
    <t>Nivel de matrícula (% de la tasa de mercado)</t>
  </si>
  <si>
    <t xml:space="preserve">Para anular la matrícula predeterminada, ingrese los valores en la columna I ------&gt;.   </t>
  </si>
  <si>
    <t xml:space="preserve">50th </t>
  </si>
  <si>
    <t>85th</t>
  </si>
  <si>
    <t xml:space="preserve"> TABLA DE LOS RESULTADOS</t>
  </si>
  <si>
    <t>RESULTADOS - Nivel de programa</t>
  </si>
  <si>
    <t>Resultados - Costo por niño (CPC)</t>
  </si>
  <si>
    <t>Anual</t>
  </si>
  <si>
    <t>Mensual</t>
  </si>
  <si>
    <t>Semanalmente</t>
  </si>
  <si>
    <t>Personal total</t>
  </si>
  <si>
    <t>Personal docente</t>
  </si>
  <si>
    <t>GASTOS</t>
  </si>
  <si>
    <t>Salarios</t>
  </si>
  <si>
    <t>Variables de calidad</t>
  </si>
  <si>
    <t>Exp. del programa educativo</t>
  </si>
  <si>
    <t>Tasas de subsidio</t>
  </si>
  <si>
    <t>Subsidio mensual</t>
  </si>
  <si>
    <t>Brecha mensual entre subsidio y costo</t>
  </si>
  <si>
    <t>Ocupación</t>
  </si>
  <si>
    <t>Gestión y administración del programa</t>
  </si>
  <si>
    <t>Región de tasa de subsidio:</t>
  </si>
  <si>
    <t>Reserva Operativa</t>
  </si>
  <si>
    <t>Total no personal</t>
  </si>
  <si>
    <t>Nivel de SUTQ :</t>
  </si>
  <si>
    <t xml:space="preserve">GASTOS TOTAL </t>
  </si>
  <si>
    <t>INGRESOS</t>
  </si>
  <si>
    <t>CACFP</t>
  </si>
  <si>
    <t>Subsidio</t>
  </si>
  <si>
    <t>Matrícula</t>
  </si>
  <si>
    <t>Precio del mercado</t>
  </si>
  <si>
    <t>Otro ingresos</t>
  </si>
  <si>
    <t>Región de la tasa de mercado:</t>
  </si>
  <si>
    <t xml:space="preserve">INGRESOS TOTAL </t>
  </si>
  <si>
    <t>Ajuste por deuda incobrable y eficiencia de inscripción</t>
  </si>
  <si>
    <t>Percentil de la tasa del mercado</t>
  </si>
  <si>
    <t>Ingresos anuales menos gastos, ganancias/(pérdidas)</t>
  </si>
  <si>
    <t>Porcentaje de gastos</t>
  </si>
  <si>
    <t>Modelo desarrollado por Prenatal to Five Fiscal Strategies, agosto de 2023. www.prenatal5fiscal.org</t>
  </si>
  <si>
    <t>RESULTADOS VISUALES</t>
  </si>
  <si>
    <t>Los siguientes gráficos dinámicos se actualizarán según los resultados del escenario anterior. Los gráficos se pueden copiar y pegar en otros documentos según sea necesario.</t>
  </si>
  <si>
    <t>Enter data from results table in the columns below to populate the chart. Scenario names can be updated.</t>
  </si>
  <si>
    <t>El siguiente cuadro permite a los usuarios comparar los resultados del modelo de costos en múltiples escenarios.</t>
  </si>
  <si>
    <t>Una vez que se ejecuta un escenario, ingrese los resultados de la tabla de resultados anterior en las celdas amarillas a continuación y luego ingrese resultados adicionales de escenarios posteriores.</t>
  </si>
  <si>
    <t>Las celdas de detalles del escenario se pueden utilizar para observar las diferencias entre cada escenario, como las selecciones salariales realizadas o la composición del número/edad de los niños, por ejemplo.</t>
  </si>
  <si>
    <t>Los nombres de los escenarios se pueden actualizar y los resultados se pueden ingresar como valores semanales, mensuales o anuales.</t>
  </si>
  <si>
    <t>Escenario 1</t>
  </si>
  <si>
    <t>Escenario 2</t>
  </si>
  <si>
    <t>Escenario 3</t>
  </si>
  <si>
    <t>Detalles de los escenarios</t>
  </si>
  <si>
    <t>Expenses</t>
  </si>
  <si>
    <t>Personnel</t>
  </si>
  <si>
    <t>Nonpersonnel</t>
  </si>
  <si>
    <t>Income</t>
  </si>
  <si>
    <t>Income adjustment</t>
  </si>
  <si>
    <t>Gastos</t>
  </si>
  <si>
    <t>Ingresos</t>
  </si>
  <si>
    <t>PRO-FORMA BUDGET:  Nebraska Child Care Center</t>
  </si>
  <si>
    <t>Items in yellow shaded cells may be changed to model different scenarios</t>
  </si>
  <si>
    <t>user can change these cells</t>
  </si>
  <si>
    <t>DO NOT CHANGE OTHER CELLS</t>
  </si>
  <si>
    <t>these cells have data from the Variables sheet. DO NOT change here.</t>
  </si>
  <si>
    <t>A Typical Center</t>
  </si>
  <si>
    <t>TOTAL Children</t>
  </si>
  <si>
    <t>Max Grp</t>
  </si>
  <si>
    <t>Ratios</t>
  </si>
  <si>
    <t>Teachers</t>
  </si>
  <si>
    <t>Classrooms</t>
  </si>
  <si>
    <t>Annual cost per child</t>
  </si>
  <si>
    <t>Monthly</t>
  </si>
  <si>
    <t>Admin personnel</t>
  </si>
  <si>
    <t>Teacher Salaries</t>
  </si>
  <si>
    <t>Sub/Floater Salaries</t>
  </si>
  <si>
    <t>Benefits</t>
  </si>
  <si>
    <t>Classroom Costs</t>
  </si>
  <si>
    <t>Child Costs</t>
  </si>
  <si>
    <t>Transportation</t>
  </si>
  <si>
    <t>TOTAL Classroom Cost</t>
  </si>
  <si>
    <t>Simple CPC</t>
  </si>
  <si>
    <t>School age adjustment</t>
  </si>
  <si>
    <t>Adjusted Age Group Total</t>
  </si>
  <si>
    <t>Adjusted CPC</t>
  </si>
  <si>
    <t>= % for daily coverage (need 20% for opening/closing and breaks, not for SA)</t>
  </si>
  <si>
    <t>SA Adjustment Factor</t>
  </si>
  <si>
    <t xml:space="preserve"> </t>
  </si>
  <si>
    <t>EXPENSES: Personnel</t>
  </si>
  <si>
    <t>Total Cost</t>
  </si>
  <si>
    <t>Unit Cost</t>
  </si>
  <si>
    <t>TOTAL Staff</t>
  </si>
  <si>
    <t>FTE Wage</t>
  </si>
  <si>
    <t>Program Director</t>
  </si>
  <si>
    <t>Assistant Director</t>
  </si>
  <si>
    <t>Administrative assistant</t>
  </si>
  <si>
    <t xml:space="preserve">        </t>
  </si>
  <si>
    <t>Subtotal administration and management staff</t>
  </si>
  <si>
    <t>TOTAL</t>
  </si>
  <si>
    <t>Lead Teachers (1 per classroom)</t>
  </si>
  <si>
    <t>Assistant Teachers</t>
  </si>
  <si>
    <t>Lead Teacher - School age</t>
  </si>
  <si>
    <t>percent of salary</t>
  </si>
  <si>
    <t>Assistant Teachers - School age</t>
  </si>
  <si>
    <t>Floater-Assists. (for % coverage throughout day)</t>
  </si>
  <si>
    <t>Instructional Aides</t>
  </si>
  <si>
    <t>subtotal teaching staff</t>
  </si>
  <si>
    <t>subtotal all staff</t>
  </si>
  <si>
    <r>
      <t xml:space="preserve">Subs for staff leave @ </t>
    </r>
    <r>
      <rPr>
        <u/>
        <sz val="10"/>
        <rFont val="Arial"/>
        <family val="2"/>
      </rPr>
      <t>days</t>
    </r>
    <r>
      <rPr>
        <sz val="10"/>
        <rFont val="Arial"/>
        <family val="2"/>
      </rPr>
      <t xml:space="preserve"> per year</t>
    </r>
  </si>
  <si>
    <r>
      <t xml:space="preserve">paid leave days </t>
    </r>
    <r>
      <rPr>
        <i/>
        <sz val="10"/>
        <rFont val="Arial"/>
        <family val="2"/>
      </rPr>
      <t>[plus 8-10  paid holidays per year, no subs needed for holidays]</t>
    </r>
  </si>
  <si>
    <r>
      <t xml:space="preserve">Subs for staff sick leave @ </t>
    </r>
    <r>
      <rPr>
        <u/>
        <sz val="10"/>
        <rFont val="Arial"/>
        <family val="2"/>
      </rPr>
      <t>days</t>
    </r>
    <r>
      <rPr>
        <sz val="10"/>
        <rFont val="Arial"/>
        <family val="2"/>
      </rPr>
      <t>/year</t>
    </r>
  </si>
  <si>
    <t>days of paid sick leave</t>
  </si>
  <si>
    <t>Subs for required training</t>
  </si>
  <si>
    <t>hours per employee</t>
  </si>
  <si>
    <t>subtotal substitutes</t>
  </si>
  <si>
    <t>subs paid at avg teacher asst hourly</t>
  </si>
  <si>
    <t>Subtotal Wages</t>
  </si>
  <si>
    <t>Mandatory benefits @ % salary</t>
  </si>
  <si>
    <t xml:space="preserve">FICA-Social Security </t>
  </si>
  <si>
    <t>Medicare</t>
  </si>
  <si>
    <t>Unemployment Insurance</t>
  </si>
  <si>
    <t>Workers Compensation</t>
  </si>
  <si>
    <t>Subtotal Mandatory Benefits</t>
  </si>
  <si>
    <t>Discretionary benefits</t>
  </si>
  <si>
    <t>Health insurance</t>
  </si>
  <si>
    <t>2022 average employer contribution to employer-based health insurance:   https://www.kff.org/other/state-indicator/single-coverage/?currentTimeframe=0&amp;sortModel=%7B%22colId%22:%22Location%22,%22sort%22:%22asc%22%7D</t>
  </si>
  <si>
    <t>Retirement</t>
  </si>
  <si>
    <t>Subtotal Personnel</t>
  </si>
  <si>
    <t>of expenses</t>
  </si>
  <si>
    <t>VARIABLES</t>
  </si>
  <si>
    <t>Subtotal quality variables</t>
  </si>
  <si>
    <t xml:space="preserve">EXPENSES: Nonpersonnel </t>
  </si>
  <si>
    <t>Education Program for Children and Staff</t>
  </si>
  <si>
    <t>Occupancy</t>
  </si>
  <si>
    <t>Program Management &amp; Administration</t>
  </si>
  <si>
    <t>School age transportation</t>
  </si>
  <si>
    <t>Subtotal Nonpersonnel</t>
  </si>
  <si>
    <t>Contribution to operating reserve fund</t>
  </si>
  <si>
    <t>Total Expense</t>
  </si>
  <si>
    <t xml:space="preserve"> Rate Region</t>
  </si>
  <si>
    <t>[set these options in the Input-CTR page]</t>
  </si>
  <si>
    <t>New Castle</t>
  </si>
  <si>
    <t>Kent</t>
  </si>
  <si>
    <t>Sussex</t>
  </si>
  <si>
    <t># children</t>
  </si>
  <si>
    <t>Tiered Reimbursement level</t>
  </si>
  <si>
    <t xml:space="preserve">Market Rate </t>
  </si>
  <si>
    <t>REVENUE</t>
  </si>
  <si>
    <t>annual rate</t>
  </si>
  <si>
    <t>CACFP (all ages)</t>
  </si>
  <si>
    <t>Monthly rate</t>
  </si>
  <si>
    <t>50th %ile</t>
  </si>
  <si>
    <t>75th % ile</t>
  </si>
  <si>
    <t>85th %ile</t>
  </si>
  <si>
    <t>Private Tuition (infants)</t>
  </si>
  <si>
    <t>Private Tuition (toddlers)</t>
  </si>
  <si>
    <t>Private Tuition (2 year olds)</t>
  </si>
  <si>
    <t>Private Tuition (3 year olds)</t>
  </si>
  <si>
    <t>Private Tuition (4-5 year olds)</t>
  </si>
  <si>
    <t>Private Tuition (school age)</t>
  </si>
  <si>
    <t>Licensed</t>
  </si>
  <si>
    <t>State subsidy (infants)</t>
  </si>
  <si>
    <t>State  subsidy (Toddlers)</t>
  </si>
  <si>
    <t>State subsidy (2 year olds)</t>
  </si>
  <si>
    <t>State subsidy (3 year old)</t>
  </si>
  <si>
    <t>State subsidy (4-5 years)</t>
  </si>
  <si>
    <t>State subsidy (school age)</t>
  </si>
  <si>
    <t>Other income (grants, fundraising, etc.)</t>
  </si>
  <si>
    <t xml:space="preserve">= Potential Total Revenue </t>
  </si>
  <si>
    <t>Adjustments to revenue</t>
  </si>
  <si>
    <t>Bad debt</t>
  </si>
  <si>
    <t>Enrollment efficiency (average)</t>
  </si>
  <si>
    <t>= Actual Total Revenue</t>
  </si>
  <si>
    <t>Annual Revenue less Expenses profit/(loss)</t>
  </si>
  <si>
    <t>Point 3</t>
  </si>
  <si>
    <t>Point 4</t>
  </si>
  <si>
    <t>Modelo de costos de cuidado infantil basado en el hogar de Nebraska  - 2024</t>
  </si>
  <si>
    <t>Preschool Promise</t>
  </si>
  <si>
    <t>Baby Promise</t>
  </si>
  <si>
    <r>
      <t xml:space="preserve">Los elementos en las celdas sombreadas en AMARILLO son para ENTRADA para modelar diferentes 'perfiles' del cuidado en el hogar.   </t>
    </r>
    <r>
      <rPr>
        <b/>
        <sz val="10"/>
        <color rgb="FFFF0000"/>
        <rFont val="Arial"/>
        <family val="2"/>
      </rPr>
      <t>Por favor no cambie ninguna otra celda en esta hoja</t>
    </r>
  </si>
  <si>
    <r>
      <t xml:space="preserve"> Los elementos en las celdas sombreadas en VERDE son para ENTRADA para modelar diferentes variables.  </t>
    </r>
    <r>
      <rPr>
        <b/>
        <sz val="11"/>
        <color rgb="FFFF0000"/>
        <rFont val="Arial"/>
        <family val="2"/>
      </rPr>
      <t>Por favor no cambie ninguna otra celda en esta hoja</t>
    </r>
  </si>
  <si>
    <t>INSCRIPCIÓN</t>
  </si>
  <si>
    <t># de NIÑOS</t>
  </si>
  <si>
    <t>EDAD</t>
  </si>
  <si>
    <t>Infantes</t>
  </si>
  <si>
    <t>Niños pequeños</t>
  </si>
  <si>
    <t># Total de niños</t>
  </si>
  <si>
    <t>BLS ($15 MW adj)</t>
  </si>
  <si>
    <t>S el usuario agrega, ingrese manualmente los salarios en la tabla a la derecha --------&gt;</t>
  </si>
  <si>
    <t>Directora / dueña del programa</t>
  </si>
  <si>
    <t>Profesor asistente</t>
  </si>
  <si>
    <t>Beneficios discrecionales(seguro de salud</t>
  </si>
  <si>
    <t>Seleccione si el programa ofrece seguro médico a los empleados</t>
  </si>
  <si>
    <t>48 horas por año</t>
  </si>
  <si>
    <t>72 horas por año</t>
  </si>
  <si>
    <t xml:space="preserve">10 horas/semana </t>
  </si>
  <si>
    <t>20 horas/semana</t>
  </si>
  <si>
    <t>Materiales ($150)</t>
  </si>
  <si>
    <t>Currículo + materiales ($150) + evaluación</t>
  </si>
  <si>
    <t>Currículo + materiales ($250) + evaluación + evaluación de Desarrollo + Coordinador de educación</t>
  </si>
  <si>
    <t>Licencia (Referencias)</t>
  </si>
  <si>
    <t>(ingrese el número de niños con IEP/IFSP)</t>
  </si>
  <si>
    <t>Yes</t>
  </si>
  <si>
    <t>GANANCIAS</t>
  </si>
  <si>
    <t xml:space="preserve">Ingrese el número de niños por edad que reciben cada tipo de subsidio usando las celdas AMARILLAS únicamente en la siguiente tabla. La celda de matrícula privada se calculará automáticamente y no debe ser negativa. </t>
  </si>
  <si>
    <t>Subsidio porcentual</t>
  </si>
  <si>
    <t>Infantes (0-18 meses)</t>
  </si>
  <si>
    <t>Niños pequeños (18-36)</t>
  </si>
  <si>
    <t>Nivel de el reembolso escalonado del subsidio</t>
  </si>
  <si>
    <t>Nivel de la matrícula (% de la tasa de mercado)</t>
  </si>
  <si>
    <t xml:space="preserve"> Para anular la matrícula predeterminada, ingrese los valores en la columna I ------&gt;</t>
  </si>
  <si>
    <t>75th</t>
  </si>
  <si>
    <t xml:space="preserve">Usuario ingresado </t>
  </si>
  <si>
    <t xml:space="preserve">
Resultados - Costo por niño (CPC)</t>
  </si>
  <si>
    <t>Administración/oficina</t>
  </si>
  <si>
    <t>Gastos relacionados con el programa</t>
  </si>
  <si>
    <t>Total No personal</t>
  </si>
  <si>
    <t>Nivel de SUTQ:</t>
  </si>
  <si>
    <t>GASTOS TOTAL</t>
  </si>
  <si>
    <t>Market Price</t>
  </si>
  <si>
    <t>INGRESOS TOTAL</t>
  </si>
  <si>
    <t xml:space="preserve">Los siguientes gráficos dinámicos se actualizarán según los resultados del escenario anterior. Los gráficos se pueden copiar y pegar en otros documentos según sea necesario. </t>
  </si>
  <si>
    <t>PRO-FORMA BUDGET:  Nebraska Home-based Model</t>
  </si>
  <si>
    <t>Family Child Care Home Profile</t>
  </si>
  <si>
    <t>Cost per age group</t>
  </si>
  <si>
    <t>100% CPC</t>
  </si>
  <si>
    <t>SA Reallocation</t>
  </si>
  <si>
    <t>Coverage</t>
  </si>
  <si>
    <t>EXPENSES</t>
  </si>
  <si>
    <t>Salaries and Wages</t>
  </si>
  <si>
    <t>Annual</t>
  </si>
  <si>
    <t>Provider/Owner</t>
  </si>
  <si>
    <t>Asst Teacher for more infants</t>
  </si>
  <si>
    <t>Asst teacher for Home II</t>
  </si>
  <si>
    <t>Total Staff</t>
  </si>
  <si>
    <t>Hourly Subs</t>
  </si>
  <si>
    <t>Floater/Sub (coverage)</t>
  </si>
  <si>
    <t>Non-traditional hours</t>
  </si>
  <si>
    <t>Total floater/sub hours</t>
  </si>
  <si>
    <t>Subtotal teaching staff</t>
  </si>
  <si>
    <t>subs for staff leave @ days per year</t>
  </si>
  <si>
    <t>Subs for staff sick leave @ days per year</t>
  </si>
  <si>
    <t>Subs for required training @ hours per year</t>
  </si>
  <si>
    <t>subs paid at asst hourly</t>
  </si>
  <si>
    <t>TOTAL SALARY AND WAGES</t>
  </si>
  <si>
    <t>Mandatory benefits for salaried staff</t>
  </si>
  <si>
    <t xml:space="preserve">Unemployment Insurance </t>
  </si>
  <si>
    <t>per person</t>
  </si>
  <si>
    <t>Health Insurance</t>
  </si>
  <si>
    <t>Discretionary Benefits</t>
  </si>
  <si>
    <t>Subtotal Wages and Benefits</t>
  </si>
  <si>
    <t xml:space="preserve"> VARIABLES </t>
  </si>
  <si>
    <t>Other Direct Expense: 100% Business Use (reported on IRS Schedule C)</t>
  </si>
  <si>
    <r>
      <t xml:space="preserve">For details, see </t>
    </r>
    <r>
      <rPr>
        <i/>
        <sz val="10"/>
        <rFont val="Arial"/>
        <family val="2"/>
      </rPr>
      <t>Operating Expense Direct &amp; Shared</t>
    </r>
  </si>
  <si>
    <t xml:space="preserve">   Nonpersonnel: Admin/Office</t>
  </si>
  <si>
    <t xml:space="preserve">   Nonpersonnel: Program</t>
  </si>
  <si>
    <t>Subtotal Other Expenses</t>
  </si>
  <si>
    <t>Region</t>
  </si>
  <si>
    <t>[Set these values on INPUT-FCC page]</t>
  </si>
  <si>
    <t>Urban</t>
  </si>
  <si>
    <t>Suburban</t>
  </si>
  <si>
    <t>Reimbursement Level</t>
  </si>
  <si>
    <t>Statewide</t>
  </si>
  <si>
    <t>Cluster 1</t>
  </si>
  <si>
    <t>Cluster 2</t>
  </si>
  <si>
    <t>Cluster 3</t>
  </si>
  <si>
    <t>Cluster 4</t>
  </si>
  <si>
    <t>Tuition Region</t>
  </si>
  <si>
    <t>Market Rate</t>
  </si>
  <si>
    <t xml:space="preserve"> annual rate</t>
  </si>
  <si>
    <t>CPC check</t>
  </si>
  <si>
    <t>Floater/Sub Rate/Hour</t>
  </si>
  <si>
    <t>Asst Teachers</t>
  </si>
  <si>
    <t>Director &amp; Asst Dir</t>
  </si>
  <si>
    <t>Children</t>
  </si>
  <si>
    <t>(pre+SA)</t>
  </si>
  <si>
    <t>Family Engagement</t>
  </si>
  <si>
    <t>Point B</t>
  </si>
  <si>
    <t>Point C</t>
  </si>
  <si>
    <t>1 conference annually</t>
  </si>
  <si>
    <t>2 hour per child, paid at hourly wage of floater/sub</t>
  </si>
  <si>
    <t>Family Engagement Specialist 1/64 children</t>
  </si>
  <si>
    <t>annual salary, 1 for every 64 children, paid at assistant director</t>
  </si>
  <si>
    <t>Professional Development Supports</t>
  </si>
  <si>
    <t xml:space="preserve">PD hours, director/owner per year </t>
  </si>
  <si>
    <t>coverage paid at floater/sub rate</t>
  </si>
  <si>
    <t xml:space="preserve">PD hours, teacher/assistant per year </t>
  </si>
  <si>
    <t>Planning Release Time</t>
  </si>
  <si>
    <t>Release Time - Lead Teacher</t>
  </si>
  <si>
    <t>Release Time - Asst Teacher</t>
  </si>
  <si>
    <t>Educational Materials &amp; Curriculum</t>
  </si>
  <si>
    <t>Curriculum</t>
  </si>
  <si>
    <t>Materials</t>
  </si>
  <si>
    <t>Assessments</t>
  </si>
  <si>
    <t>1 dev screen annually - 2 hours per child (Point B); dec screen + child assess, 2 hours, 2 times per year (point C)</t>
  </si>
  <si>
    <t>Ed coordinator</t>
  </si>
  <si>
    <t>1 for every 10 classrooms</t>
  </si>
  <si>
    <t>Inclusion Materials</t>
  </si>
  <si>
    <t>Aide</t>
  </si>
  <si>
    <t>salary based on lead teacehr, 1:8 ratio point b, 1:4 poitn c</t>
  </si>
  <si>
    <t>Point D</t>
  </si>
  <si>
    <t>School age only</t>
  </si>
  <si>
    <t>$50 a month per child</t>
  </si>
  <si>
    <t>3-5 year olds + SA</t>
  </si>
  <si>
    <t>All kids</t>
  </si>
  <si>
    <t xml:space="preserve">Family Child Care </t>
  </si>
  <si>
    <t>annual salary, 1 for every 64 children, paid at instl support staff</t>
  </si>
  <si>
    <t>Release Time - Owner/Director</t>
  </si>
  <si>
    <t>10 hours a week at point B, 20 at point C</t>
  </si>
  <si>
    <t xml:space="preserve">0.25 FTE </t>
  </si>
  <si>
    <t>salary based on asst teacehr, 1:8 ratio point b, 1:4 poitn c</t>
  </si>
  <si>
    <t>Center Region</t>
  </si>
  <si>
    <t>FCC Region</t>
  </si>
  <si>
    <t>Director</t>
  </si>
  <si>
    <t>Asst Director</t>
  </si>
  <si>
    <t>Admin Asst</t>
  </si>
  <si>
    <t>Lead Teacher</t>
  </si>
  <si>
    <t>Asst Teacher</t>
  </si>
  <si>
    <t>FCC Owner</t>
  </si>
  <si>
    <t>FCC Asst</t>
  </si>
  <si>
    <t>Current (BLS, MW Adj)</t>
  </si>
  <si>
    <t>Living Wage</t>
  </si>
  <si>
    <t>K-parity</t>
  </si>
  <si>
    <t>User entered</t>
  </si>
  <si>
    <t>Floater</t>
  </si>
  <si>
    <t>Substitute</t>
  </si>
  <si>
    <t>lead teacher - preschool</t>
  </si>
  <si>
    <t>lead teacher - toddler</t>
  </si>
  <si>
    <t>lead teacher - infant</t>
  </si>
  <si>
    <t>CENTERS</t>
  </si>
  <si>
    <t>Group Size</t>
  </si>
  <si>
    <t>PCQC - Center</t>
  </si>
  <si>
    <t>Fixed Cost</t>
  </si>
  <si>
    <t>Kids</t>
  </si>
  <si>
    <t>annual costs</t>
  </si>
  <si>
    <t>Based on data from ARPA survey</t>
  </si>
  <si>
    <t>CCA Region</t>
  </si>
  <si>
    <t>Avg_cc_mortgage_cost</t>
  </si>
  <si>
    <t>avg cc rent</t>
  </si>
  <si>
    <t>Program Management</t>
  </si>
  <si>
    <t>Central WA</t>
  </si>
  <si>
    <t>Office Supplies/Equipment</t>
  </si>
  <si>
    <t>x</t>
  </si>
  <si>
    <t>Eastern WA</t>
  </si>
  <si>
    <t>Telephone/Internet</t>
  </si>
  <si>
    <t>King &amp; Pierce Counties</t>
  </si>
  <si>
    <t>Insurance</t>
  </si>
  <si>
    <t>Northwest WA</t>
  </si>
  <si>
    <t>Legal/Professional Fees</t>
  </si>
  <si>
    <t>Olympic Peninsula</t>
  </si>
  <si>
    <t>Fees/Permits</t>
  </si>
  <si>
    <t>Southwest WA</t>
  </si>
  <si>
    <t>Prof Assoc/Memberships</t>
  </si>
  <si>
    <t>AVERAGE</t>
  </si>
  <si>
    <t>Recruitment/marketing</t>
  </si>
  <si>
    <t>Other</t>
  </si>
  <si>
    <t>Rent /Lease/Mortgage (incl RE taxes)</t>
  </si>
  <si>
    <t>King &amp; Pierce</t>
  </si>
  <si>
    <t>Other occupancy (incl utilities)</t>
  </si>
  <si>
    <t>Maintenance/Repairs/cleaning</t>
  </si>
  <si>
    <t>Education/Program - Child</t>
  </si>
  <si>
    <t>Food &amp; Food Related Items</t>
  </si>
  <si>
    <t>Classroom supplies</t>
  </si>
  <si>
    <t>Medical Supplies</t>
  </si>
  <si>
    <t>Educational Supplies</t>
  </si>
  <si>
    <t>postage</t>
  </si>
  <si>
    <t>advertising</t>
  </si>
  <si>
    <t>Education/Program - Staff</t>
  </si>
  <si>
    <t>Other: Prof Consultants/Temp Personnel</t>
  </si>
  <si>
    <t>Training/PD</t>
  </si>
  <si>
    <t>Total Non-Personnel</t>
  </si>
  <si>
    <t>Per classroom</t>
  </si>
  <si>
    <t>per child</t>
  </si>
  <si>
    <t>Administration (by child)</t>
  </si>
  <si>
    <t>Occupancy (by classroom)</t>
  </si>
  <si>
    <t>Education Program (by child)</t>
  </si>
  <si>
    <t xml:space="preserve">Use in CTR R&amp;E </t>
  </si>
  <si>
    <t>Category</t>
  </si>
  <si>
    <t>PCQC - FCC</t>
  </si>
  <si>
    <t>total site</t>
  </si>
  <si>
    <t>Advertising</t>
  </si>
  <si>
    <t>vehicle expense</t>
  </si>
  <si>
    <t>X</t>
  </si>
  <si>
    <t>depreciation</t>
  </si>
  <si>
    <t>insurance</t>
  </si>
  <si>
    <t>interest on biz debt</t>
  </si>
  <si>
    <t>legal &amp; Prof fees</t>
  </si>
  <si>
    <t>Office supplies</t>
  </si>
  <si>
    <t>Repairs/Maint</t>
  </si>
  <si>
    <t>Supplies</t>
  </si>
  <si>
    <t>Food</t>
  </si>
  <si>
    <t>Telephone</t>
  </si>
  <si>
    <t>Prof Member</t>
  </si>
  <si>
    <t>License/permits</t>
  </si>
  <si>
    <t>Field Trips</t>
  </si>
  <si>
    <t>Equipment</t>
  </si>
  <si>
    <t>Misc</t>
  </si>
  <si>
    <t>Mortgage/Rent</t>
  </si>
  <si>
    <t>Home Repairs/Maint</t>
  </si>
  <si>
    <t>Utilities</t>
  </si>
  <si>
    <t>Household supplies</t>
  </si>
  <si>
    <t>Hours worked</t>
  </si>
  <si>
    <t>Space in home</t>
  </si>
  <si>
    <t>Total space</t>
  </si>
  <si>
    <t>Time-Space Percent</t>
  </si>
  <si>
    <t>Total 100% Biz</t>
  </si>
  <si>
    <t>Shared expense</t>
  </si>
  <si>
    <t>Total Nonpersonnel</t>
  </si>
  <si>
    <t>Administration</t>
  </si>
  <si>
    <t>Education Program</t>
  </si>
  <si>
    <t xml:space="preserve">Use in FCC R&amp;E </t>
  </si>
  <si>
    <t>HOMES</t>
  </si>
  <si>
    <t>https://dhhs.ne.gov/Child%20Care%20Documents/Subsidy-Rates.pdf</t>
  </si>
  <si>
    <t>LICENSED</t>
  </si>
  <si>
    <t xml:space="preserve">Full Day </t>
  </si>
  <si>
    <t>Half Day</t>
  </si>
  <si>
    <t>Infants</t>
  </si>
  <si>
    <t>Toddlers</t>
  </si>
  <si>
    <t xml:space="preserve">Preschool </t>
  </si>
  <si>
    <t>School-age</t>
  </si>
  <si>
    <t>Accredited/Step 3</t>
  </si>
  <si>
    <t xml:space="preserve">Infant means a child age 6 weeks to 18 months; </t>
  </si>
  <si>
    <t xml:space="preserve">Toddler means a child age 18 months to 3 years; </t>
  </si>
  <si>
    <t xml:space="preserve">Preschooler means a child age 3 or older who has not attended kindergarten; and </t>
  </si>
  <si>
    <t xml:space="preserve">School-ager means a child who attends kindergarten or above. </t>
  </si>
  <si>
    <t>URBAN</t>
  </si>
  <si>
    <t>Douglas</t>
  </si>
  <si>
    <t>Lancaster</t>
  </si>
  <si>
    <t>Sarpy</t>
  </si>
  <si>
    <t>Dakota</t>
  </si>
  <si>
    <t>https://dhhs.ne.gov/Child%20Care%20Market%20Rate%20Surveys/2023%20Market%20Rate%20Survey%20Report.pdf</t>
  </si>
  <si>
    <t>75th %ile</t>
  </si>
  <si>
    <t>CHILD AND ADULT CARE FOOD PROGRAM (CACFP)</t>
  </si>
  <si>
    <t>https://www.govinfo.gov/content/pkg/FR-2023-07-07/pdf/2023-14317.pdf</t>
  </si>
  <si>
    <t>UPDATED</t>
  </si>
  <si>
    <t>Per Meal Rates in Whole or Fractions of U.S. Dollars</t>
  </si>
  <si>
    <t>Effective from July 1, 2023 - June 30, 2024</t>
  </si>
  <si>
    <t>Centers</t>
  </si>
  <si>
    <t>DO NOT ALTER = used in formulas on other spreadsheets</t>
  </si>
  <si>
    <t>https://www.federalregister.gov/documents/2021/07/07/2021-14435/child-and-adult-care-food-program-national-average-payment-rates-day-care-home-food-service-payment</t>
  </si>
  <si>
    <t>Family Income Eligibility</t>
  </si>
  <si>
    <t>Breakfast</t>
  </si>
  <si>
    <t>Lunch /Supper</t>
  </si>
  <si>
    <t>Snack</t>
  </si>
  <si>
    <t xml:space="preserve">Daily </t>
  </si>
  <si>
    <t>weekly</t>
  </si>
  <si>
    <t>185% and up</t>
  </si>
  <si>
    <t>PAID</t>
  </si>
  <si>
    <t>&lt;185% FPL</t>
  </si>
  <si>
    <t>REDUCED PRICE</t>
  </si>
  <si>
    <t>&lt;130% FPL</t>
  </si>
  <si>
    <t>FREE</t>
  </si>
  <si>
    <t>Homes</t>
  </si>
  <si>
    <t>Tier I</t>
  </si>
  <si>
    <t>Tier II</t>
  </si>
  <si>
    <t>1 breakfast,1  lunch or dinner and 2 snacks</t>
  </si>
  <si>
    <t>WCCC Region</t>
  </si>
  <si>
    <t>CCAWA Region</t>
  </si>
  <si>
    <t>Adams</t>
  </si>
  <si>
    <t>Central</t>
  </si>
  <si>
    <t>WCCC</t>
  </si>
  <si>
    <t>Asotin</t>
  </si>
  <si>
    <t>Eastern</t>
  </si>
  <si>
    <t>Region 1</t>
  </si>
  <si>
    <t>Central &amp; Eastern</t>
  </si>
  <si>
    <t>Chelan</t>
  </si>
  <si>
    <t>Region 2</t>
  </si>
  <si>
    <t>Region 3</t>
  </si>
  <si>
    <t>Northwest</t>
  </si>
  <si>
    <t>Ferry</t>
  </si>
  <si>
    <t>Region 4</t>
  </si>
  <si>
    <t>Garfield</t>
  </si>
  <si>
    <t>Region 5</t>
  </si>
  <si>
    <t>Grant</t>
  </si>
  <si>
    <t>Region 6</t>
  </si>
  <si>
    <t>Olympic Peninsula &amp; Southwest</t>
  </si>
  <si>
    <t>Lincoln</t>
  </si>
  <si>
    <t>Sponane</t>
  </si>
  <si>
    <t>Okanogan</t>
  </si>
  <si>
    <t>Pend Oreille</t>
  </si>
  <si>
    <t>Stevens</t>
  </si>
  <si>
    <t>Whitman</t>
  </si>
  <si>
    <t>Benton</t>
  </si>
  <si>
    <t>Columbia</t>
  </si>
  <si>
    <t>Franklin</t>
  </si>
  <si>
    <t>Kittitas</t>
  </si>
  <si>
    <t>Walla Walla</t>
  </si>
  <si>
    <t>Yakima</t>
  </si>
  <si>
    <t>Island</t>
  </si>
  <si>
    <t>San Juan</t>
  </si>
  <si>
    <t>Skagit</t>
  </si>
  <si>
    <t>Snohomish</t>
  </si>
  <si>
    <t>Whatcom</t>
  </si>
  <si>
    <t>King</t>
  </si>
  <si>
    <t>Kitsap</t>
  </si>
  <si>
    <t>Pierce</t>
  </si>
  <si>
    <t>Clallam</t>
  </si>
  <si>
    <t>Clark</t>
  </si>
  <si>
    <t>Southwest</t>
  </si>
  <si>
    <t>Cowlitz</t>
  </si>
  <si>
    <t>Gray's Harbor</t>
  </si>
  <si>
    <t>Jefferson</t>
  </si>
  <si>
    <t>Lewis</t>
  </si>
  <si>
    <t>Mason</t>
  </si>
  <si>
    <t>Klickitat</t>
  </si>
  <si>
    <t>Pacific</t>
  </si>
  <si>
    <t>Skamania</t>
  </si>
  <si>
    <t>Thurston</t>
  </si>
  <si>
    <t>Wahkiakum</t>
  </si>
  <si>
    <t>Spokane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</si>
</sst>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"/>
    <numFmt numFmtId="167" formatCode="_(&quot;$&quot;* #,##0_);_(&quot;$&quot;* \(#,##0\);_(&quot;$&quot;* &quot;-&quot;??_);_(@_)"/>
    <numFmt numFmtId="168" formatCode="&quot;$&quot;#,##0;[Red]&quot;$&quot;#,##0"/>
    <numFmt numFmtId="169" formatCode="0.0%"/>
    <numFmt numFmtId="170" formatCode="_(* #,##0_);_(* \(#,##0\);_(* &quot;-&quot;??_);_(@_)"/>
  </numFmts>
  <fonts count="9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sz val="9"/>
      <color rgb="FF000000"/>
      <name val="Tahoma"/>
      <family val="2"/>
    </font>
    <font>
      <sz val="10"/>
      <color rgb="FF000000"/>
      <name val="Times New Roman"/>
      <family val="1"/>
    </font>
    <font>
      <i/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4"/>
      <name val="Arial"/>
      <family val="2"/>
    </font>
    <font>
      <b/>
      <u/>
      <sz val="11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4.9989318521683403E-2"/>
      <name val="Arial"/>
      <family val="2"/>
    </font>
    <font>
      <i/>
      <sz val="1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u/>
      <sz val="10"/>
      <color rgb="FFFF0000"/>
      <name val="Arial"/>
      <family val="2"/>
    </font>
    <font>
      <i/>
      <u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444444"/>
      <name val="Calibri"/>
      <family val="2"/>
      <charset val="1"/>
    </font>
    <font>
      <b/>
      <u/>
      <sz val="11"/>
      <color theme="1"/>
      <name val="Arial"/>
      <family val="2"/>
    </font>
    <font>
      <b/>
      <sz val="8"/>
      <color rgb="FF000000"/>
      <name val="Calibri"/>
      <family val="2"/>
    </font>
    <font>
      <i/>
      <sz val="8"/>
      <name val="Arial"/>
      <family val="2"/>
    </font>
    <font>
      <i/>
      <u/>
      <sz val="10"/>
      <color theme="1"/>
      <name val="Arial"/>
      <family val="2"/>
    </font>
    <font>
      <sz val="11"/>
      <name val="Tahoma"/>
      <family val="2"/>
    </font>
    <font>
      <u/>
      <sz val="10"/>
      <color theme="1"/>
      <name val="Arial"/>
      <family val="2"/>
    </font>
    <font>
      <sz val="10"/>
      <color rgb="FF484848"/>
      <name val="Arial"/>
      <family val="2"/>
    </font>
    <font>
      <b/>
      <i/>
      <sz val="10"/>
      <color rgb="FFFF0000"/>
      <name val="Arial"/>
      <family val="2"/>
    </font>
    <font>
      <sz val="14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name val="Arial"/>
      <family val="2"/>
    </font>
    <font>
      <i/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i/>
      <sz val="10"/>
      <color theme="0" tint="-0.499984740745262"/>
      <name val="Arial"/>
      <family val="2"/>
    </font>
    <font>
      <sz val="10"/>
      <color indexed="8"/>
      <name val="Calibri"/>
      <family val="2"/>
      <scheme val="minor"/>
    </font>
    <font>
      <b/>
      <sz val="11"/>
      <color theme="0"/>
      <name val="Arial"/>
      <family val="2"/>
    </font>
    <font>
      <sz val="10"/>
      <color theme="6" tint="0.79998168889431442"/>
      <name val="Arial"/>
      <family val="2"/>
    </font>
    <font>
      <u/>
      <sz val="10"/>
      <color theme="6" tint="0.79998168889431442"/>
      <name val="Arial"/>
      <family val="2"/>
    </font>
    <font>
      <b/>
      <sz val="12"/>
      <color theme="0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i/>
      <sz val="9"/>
      <color theme="1"/>
      <name val="Arial"/>
      <family val="2"/>
    </font>
    <font>
      <sz val="10"/>
      <color theme="0" tint="-0.1499984740745262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6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4" fontId="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35" fillId="0" borderId="0"/>
    <xf numFmtId="9" fontId="3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4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3" fillId="0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66" fillId="0" borderId="0" applyFont="0" applyFill="0" applyBorder="0" applyAlignment="0" applyProtection="0"/>
  </cellStyleXfs>
  <cellXfs count="894">
    <xf numFmtId="0" fontId="0" fillId="0" borderId="0" xfId="0"/>
    <xf numFmtId="0" fontId="9" fillId="0" borderId="0" xfId="0" applyFont="1"/>
    <xf numFmtId="0" fontId="10" fillId="0" borderId="0" xfId="0" applyFont="1"/>
    <xf numFmtId="0" fontId="31" fillId="0" borderId="0" xfId="0" applyFont="1"/>
    <xf numFmtId="6" fontId="30" fillId="0" borderId="0" xfId="0" applyNumberFormat="1" applyFont="1"/>
    <xf numFmtId="0" fontId="32" fillId="0" borderId="0" xfId="0" applyFont="1"/>
    <xf numFmtId="6" fontId="0" fillId="0" borderId="0" xfId="0" applyNumberFormat="1"/>
    <xf numFmtId="6" fontId="33" fillId="0" borderId="0" xfId="0" applyNumberFormat="1" applyFont="1"/>
    <xf numFmtId="6" fontId="7" fillId="0" borderId="0" xfId="0" applyNumberFormat="1" applyFont="1"/>
    <xf numFmtId="6" fontId="9" fillId="0" borderId="0" xfId="0" applyNumberFormat="1" applyFont="1"/>
    <xf numFmtId="2" fontId="9" fillId="0" borderId="0" xfId="0" applyNumberFormat="1" applyFont="1"/>
    <xf numFmtId="0" fontId="33" fillId="0" borderId="0" xfId="0" applyFont="1" applyAlignment="1">
      <alignment horizontal="right"/>
    </xf>
    <xf numFmtId="8" fontId="0" fillId="0" borderId="0" xfId="0" applyNumberFormat="1"/>
    <xf numFmtId="0" fontId="9" fillId="0" borderId="0" xfId="0" applyFont="1" applyAlignment="1">
      <alignment horizontal="right"/>
    </xf>
    <xf numFmtId="0" fontId="21" fillId="0" borderId="0" xfId="35" applyAlignment="1" applyProtection="1"/>
    <xf numFmtId="0" fontId="9" fillId="25" borderId="0" xfId="0" applyFont="1" applyFill="1"/>
    <xf numFmtId="165" fontId="0" fillId="0" borderId="0" xfId="0" applyNumberFormat="1"/>
    <xf numFmtId="9" fontId="0" fillId="0" borderId="0" xfId="44" applyFont="1"/>
    <xf numFmtId="0" fontId="36" fillId="0" borderId="0" xfId="0" applyFont="1"/>
    <xf numFmtId="0" fontId="7" fillId="0" borderId="0" xfId="0" applyFont="1"/>
    <xf numFmtId="0" fontId="7" fillId="0" borderId="0" xfId="0" quotePrefix="1" applyFont="1"/>
    <xf numFmtId="165" fontId="7" fillId="0" borderId="0" xfId="0" applyNumberFormat="1" applyFont="1"/>
    <xf numFmtId="0" fontId="7" fillId="0" borderId="0" xfId="0" applyFont="1" applyAlignment="1">
      <alignment horizontal="right"/>
    </xf>
    <xf numFmtId="8" fontId="7" fillId="0" borderId="0" xfId="0" applyNumberFormat="1" applyFont="1"/>
    <xf numFmtId="8" fontId="37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6" fontId="9" fillId="0" borderId="0" xfId="0" applyNumberFormat="1" applyFont="1"/>
    <xf numFmtId="0" fontId="0" fillId="0" borderId="18" xfId="0" applyBorder="1"/>
    <xf numFmtId="0" fontId="7" fillId="0" borderId="18" xfId="0" applyFont="1" applyBorder="1"/>
    <xf numFmtId="0" fontId="0" fillId="0" borderId="12" xfId="0" applyBorder="1"/>
    <xf numFmtId="0" fontId="0" fillId="0" borderId="10" xfId="0" applyBorder="1"/>
    <xf numFmtId="6" fontId="30" fillId="0" borderId="18" xfId="0" applyNumberFormat="1" applyFont="1" applyBorder="1"/>
    <xf numFmtId="6" fontId="9" fillId="0" borderId="18" xfId="0" applyNumberFormat="1" applyFont="1" applyBorder="1"/>
    <xf numFmtId="6" fontId="0" fillId="0" borderId="18" xfId="0" applyNumberFormat="1" applyBorder="1"/>
    <xf numFmtId="0" fontId="9" fillId="0" borderId="1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8" fillId="0" borderId="11" xfId="0" applyFont="1" applyBorder="1"/>
    <xf numFmtId="0" fontId="10" fillId="0" borderId="11" xfId="0" applyFont="1" applyBorder="1"/>
    <xf numFmtId="0" fontId="32" fillId="0" borderId="0" xfId="0" applyFont="1" applyAlignment="1">
      <alignment wrapText="1"/>
    </xf>
    <xf numFmtId="0" fontId="10" fillId="0" borderId="19" xfId="0" applyFont="1" applyBorder="1"/>
    <xf numFmtId="0" fontId="9" fillId="0" borderId="12" xfId="0" applyFont="1" applyBorder="1"/>
    <xf numFmtId="165" fontId="9" fillId="0" borderId="12" xfId="0" applyNumberFormat="1" applyFont="1" applyBorder="1"/>
    <xf numFmtId="0" fontId="7" fillId="28" borderId="28" xfId="0" applyFont="1" applyFill="1" applyBorder="1" applyAlignment="1">
      <alignment horizontal="right"/>
    </xf>
    <xf numFmtId="165" fontId="7" fillId="28" borderId="29" xfId="0" applyNumberFormat="1" applyFont="1" applyFill="1" applyBorder="1"/>
    <xf numFmtId="0" fontId="7" fillId="28" borderId="30" xfId="0" applyFont="1" applyFill="1" applyBorder="1" applyAlignment="1">
      <alignment horizontal="right"/>
    </xf>
    <xf numFmtId="165" fontId="0" fillId="28" borderId="31" xfId="0" applyNumberFormat="1" applyFill="1" applyBorder="1"/>
    <xf numFmtId="165" fontId="7" fillId="28" borderId="31" xfId="0" applyNumberFormat="1" applyFont="1" applyFill="1" applyBorder="1"/>
    <xf numFmtId="0" fontId="7" fillId="28" borderId="32" xfId="0" applyFont="1" applyFill="1" applyBorder="1" applyAlignment="1">
      <alignment horizontal="right"/>
    </xf>
    <xf numFmtId="0" fontId="38" fillId="28" borderId="33" xfId="0" applyFont="1" applyFill="1" applyBorder="1"/>
    <xf numFmtId="0" fontId="33" fillId="0" borderId="0" xfId="0" applyFont="1"/>
    <xf numFmtId="166" fontId="7" fillId="0" borderId="0" xfId="0" applyNumberFormat="1" applyFont="1" applyAlignment="1">
      <alignment horizontal="right"/>
    </xf>
    <xf numFmtId="2" fontId="41" fillId="0" borderId="0" xfId="0" applyNumberFormat="1" applyFont="1"/>
    <xf numFmtId="9" fontId="7" fillId="0" borderId="0" xfId="44" applyFont="1" applyFill="1"/>
    <xf numFmtId="165" fontId="9" fillId="0" borderId="0" xfId="0" applyNumberFormat="1" applyFont="1"/>
    <xf numFmtId="0" fontId="8" fillId="0" borderId="0" xfId="0" applyFont="1"/>
    <xf numFmtId="10" fontId="7" fillId="0" borderId="0" xfId="0" applyNumberFormat="1" applyFont="1"/>
    <xf numFmtId="9" fontId="8" fillId="0" borderId="0" xfId="0" applyNumberFormat="1" applyFont="1"/>
    <xf numFmtId="6" fontId="10" fillId="0" borderId="0" xfId="0" applyNumberFormat="1" applyFont="1"/>
    <xf numFmtId="166" fontId="10" fillId="0" borderId="0" xfId="0" applyNumberFormat="1" applyFont="1"/>
    <xf numFmtId="8" fontId="36" fillId="0" borderId="0" xfId="0" applyNumberFormat="1" applyFont="1"/>
    <xf numFmtId="0" fontId="7" fillId="28" borderId="0" xfId="0" quotePrefix="1" applyFont="1" applyFill="1" applyAlignment="1">
      <alignment horizontal="right" wrapText="1"/>
    </xf>
    <xf numFmtId="9" fontId="7" fillId="0" borderId="0" xfId="0" applyNumberFormat="1" applyFont="1"/>
    <xf numFmtId="0" fontId="9" fillId="0" borderId="11" xfId="0" applyFont="1" applyBorder="1"/>
    <xf numFmtId="167" fontId="0" fillId="0" borderId="0" xfId="28" applyNumberFormat="1" applyFont="1"/>
    <xf numFmtId="1" fontId="7" fillId="0" borderId="0" xfId="0" applyNumberFormat="1" applyFont="1"/>
    <xf numFmtId="0" fontId="39" fillId="0" borderId="0" xfId="0" applyFont="1"/>
    <xf numFmtId="0" fontId="7" fillId="0" borderId="12" xfId="0" applyFont="1" applyBorder="1"/>
    <xf numFmtId="0" fontId="7" fillId="0" borderId="12" xfId="0" quotePrefix="1" applyFont="1" applyBorder="1" applyAlignment="1">
      <alignment horizontal="right" wrapText="1"/>
    </xf>
    <xf numFmtId="9" fontId="0" fillId="0" borderId="0" xfId="44" applyFont="1" applyFill="1" applyBorder="1"/>
    <xf numFmtId="6" fontId="30" fillId="0" borderId="10" xfId="0" applyNumberFormat="1" applyFont="1" applyBorder="1"/>
    <xf numFmtId="165" fontId="7" fillId="0" borderId="12" xfId="0" applyNumberFormat="1" applyFont="1" applyBorder="1"/>
    <xf numFmtId="0" fontId="10" fillId="0" borderId="14" xfId="0" applyFont="1" applyBorder="1"/>
    <xf numFmtId="0" fontId="7" fillId="0" borderId="10" xfId="0" applyFont="1" applyBorder="1"/>
    <xf numFmtId="0" fontId="9" fillId="0" borderId="0" xfId="0" applyFont="1" applyAlignment="1">
      <alignment wrapText="1"/>
    </xf>
    <xf numFmtId="0" fontId="7" fillId="27" borderId="37" xfId="0" applyFont="1" applyFill="1" applyBorder="1" applyAlignment="1" applyProtection="1">
      <alignment horizontal="center" vertical="center"/>
      <protection locked="0"/>
    </xf>
    <xf numFmtId="6" fontId="7" fillId="29" borderId="18" xfId="0" applyNumberFormat="1" applyFont="1" applyFill="1" applyBorder="1"/>
    <xf numFmtId="0" fontId="38" fillId="30" borderId="26" xfId="0" applyFont="1" applyFill="1" applyBorder="1"/>
    <xf numFmtId="0" fontId="7" fillId="30" borderId="22" xfId="0" applyFont="1" applyFill="1" applyBorder="1"/>
    <xf numFmtId="3" fontId="0" fillId="0" borderId="12" xfId="0" applyNumberFormat="1" applyBorder="1"/>
    <xf numFmtId="9" fontId="9" fillId="0" borderId="18" xfId="44" applyFont="1" applyBorder="1"/>
    <xf numFmtId="0" fontId="9" fillId="31" borderId="0" xfId="0" applyFont="1" applyFill="1"/>
    <xf numFmtId="0" fontId="0" fillId="31" borderId="0" xfId="0" applyFill="1"/>
    <xf numFmtId="9" fontId="37" fillId="0" borderId="0" xfId="44" applyFont="1" applyAlignment="1">
      <alignment vertical="center"/>
    </xf>
    <xf numFmtId="165" fontId="7" fillId="29" borderId="0" xfId="0" applyNumberFormat="1" applyFont="1" applyFill="1"/>
    <xf numFmtId="0" fontId="37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0" fillId="0" borderId="11" xfId="0" applyBorder="1"/>
    <xf numFmtId="0" fontId="9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/>
    </xf>
    <xf numFmtId="167" fontId="0" fillId="0" borderId="12" xfId="28" applyNumberFormat="1" applyFont="1" applyBorder="1"/>
    <xf numFmtId="6" fontId="0" fillId="0" borderId="0" xfId="28" applyNumberFormat="1" applyFont="1"/>
    <xf numFmtId="167" fontId="7" fillId="0" borderId="0" xfId="28" applyNumberFormat="1" applyFont="1" applyFill="1"/>
    <xf numFmtId="0" fontId="7" fillId="0" borderId="40" xfId="0" applyFont="1" applyBorder="1"/>
    <xf numFmtId="0" fontId="7" fillId="0" borderId="19" xfId="0" applyFont="1" applyBorder="1"/>
    <xf numFmtId="0" fontId="7" fillId="0" borderId="14" xfId="0" applyFont="1" applyBorder="1"/>
    <xf numFmtId="0" fontId="50" fillId="0" borderId="0" xfId="0" applyFont="1"/>
    <xf numFmtId="0" fontId="7" fillId="27" borderId="41" xfId="0" applyFont="1" applyFill="1" applyBorder="1" applyAlignment="1" applyProtection="1">
      <alignment horizontal="center" vertical="center"/>
      <protection locked="0"/>
    </xf>
    <xf numFmtId="0" fontId="7" fillId="27" borderId="11" xfId="0" applyFont="1" applyFill="1" applyBorder="1" applyAlignment="1" applyProtection="1">
      <alignment horizontal="center" vertical="center"/>
      <protection locked="0"/>
    </xf>
    <xf numFmtId="0" fontId="0" fillId="29" borderId="0" xfId="0" applyFill="1"/>
    <xf numFmtId="0" fontId="36" fillId="29" borderId="0" xfId="0" applyFont="1" applyFill="1"/>
    <xf numFmtId="0" fontId="7" fillId="27" borderId="42" xfId="0" applyFont="1" applyFill="1" applyBorder="1" applyAlignment="1" applyProtection="1">
      <alignment horizontal="center" vertical="center"/>
      <protection locked="0"/>
    </xf>
    <xf numFmtId="0" fontId="9" fillId="29" borderId="12" xfId="0" applyFont="1" applyFill="1" applyBorder="1"/>
    <xf numFmtId="0" fontId="34" fillId="29" borderId="12" xfId="0" applyFont="1" applyFill="1" applyBorder="1" applyAlignment="1">
      <alignment horizontal="center" vertical="center"/>
    </xf>
    <xf numFmtId="0" fontId="7" fillId="29" borderId="12" xfId="0" applyFont="1" applyFill="1" applyBorder="1" applyAlignment="1">
      <alignment horizontal="center" vertical="center"/>
    </xf>
    <xf numFmtId="167" fontId="0" fillId="29" borderId="0" xfId="28" applyNumberFormat="1" applyFont="1" applyFill="1" applyBorder="1" applyAlignment="1"/>
    <xf numFmtId="167" fontId="48" fillId="29" borderId="0" xfId="28" applyNumberFormat="1" applyFont="1" applyFill="1" applyBorder="1" applyAlignment="1"/>
    <xf numFmtId="167" fontId="7" fillId="29" borderId="0" xfId="28" applyNumberFormat="1" applyFont="1" applyFill="1" applyBorder="1" applyAlignment="1"/>
    <xf numFmtId="9" fontId="0" fillId="29" borderId="0" xfId="44" applyFont="1" applyFill="1" applyBorder="1"/>
    <xf numFmtId="0" fontId="0" fillId="29" borderId="26" xfId="0" applyFill="1" applyBorder="1"/>
    <xf numFmtId="0" fontId="0" fillId="29" borderId="34" xfId="0" applyFill="1" applyBorder="1"/>
    <xf numFmtId="0" fontId="7" fillId="29" borderId="34" xfId="0" applyFont="1" applyFill="1" applyBorder="1"/>
    <xf numFmtId="0" fontId="48" fillId="29" borderId="34" xfId="0" applyFont="1" applyFill="1" applyBorder="1"/>
    <xf numFmtId="0" fontId="48" fillId="29" borderId="27" xfId="0" applyFont="1" applyFill="1" applyBorder="1"/>
    <xf numFmtId="0" fontId="0" fillId="29" borderId="22" xfId="0" applyFill="1" applyBorder="1"/>
    <xf numFmtId="0" fontId="48" fillId="29" borderId="0" xfId="0" applyFont="1" applyFill="1"/>
    <xf numFmtId="0" fontId="48" fillId="29" borderId="23" xfId="0" applyFont="1" applyFill="1" applyBorder="1"/>
    <xf numFmtId="0" fontId="49" fillId="29" borderId="0" xfId="0" applyFont="1" applyFill="1" applyAlignment="1">
      <alignment horizontal="right"/>
    </xf>
    <xf numFmtId="0" fontId="50" fillId="29" borderId="23" xfId="0" applyFont="1" applyFill="1" applyBorder="1" applyAlignment="1">
      <alignment horizontal="right"/>
    </xf>
    <xf numFmtId="0" fontId="50" fillId="29" borderId="23" xfId="0" applyFont="1" applyFill="1" applyBorder="1"/>
    <xf numFmtId="0" fontId="0" fillId="29" borderId="23" xfId="0" applyFill="1" applyBorder="1"/>
    <xf numFmtId="0" fontId="36" fillId="29" borderId="22" xfId="0" applyFont="1" applyFill="1" applyBorder="1"/>
    <xf numFmtId="0" fontId="36" fillId="29" borderId="23" xfId="0" applyFont="1" applyFill="1" applyBorder="1"/>
    <xf numFmtId="0" fontId="0" fillId="29" borderId="35" xfId="0" applyFill="1" applyBorder="1"/>
    <xf numFmtId="0" fontId="34" fillId="0" borderId="16" xfId="0" applyFont="1" applyBorder="1"/>
    <xf numFmtId="0" fontId="34" fillId="0" borderId="36" xfId="0" applyFont="1" applyBorder="1"/>
    <xf numFmtId="0" fontId="10" fillId="29" borderId="18" xfId="0" applyFont="1" applyFill="1" applyBorder="1"/>
    <xf numFmtId="0" fontId="0" fillId="27" borderId="22" xfId="0" applyFill="1" applyBorder="1"/>
    <xf numFmtId="0" fontId="0" fillId="33" borderId="34" xfId="0" applyFill="1" applyBorder="1"/>
    <xf numFmtId="0" fontId="9" fillId="33" borderId="34" xfId="0" applyFont="1" applyFill="1" applyBorder="1" applyAlignment="1">
      <alignment horizontal="center" vertical="center"/>
    </xf>
    <xf numFmtId="0" fontId="9" fillId="33" borderId="27" xfId="0" applyFont="1" applyFill="1" applyBorder="1" applyAlignment="1">
      <alignment horizontal="center" vertical="center"/>
    </xf>
    <xf numFmtId="0" fontId="0" fillId="33" borderId="22" xfId="0" applyFill="1" applyBorder="1"/>
    <xf numFmtId="0" fontId="0" fillId="33" borderId="24" xfId="0" applyFill="1" applyBorder="1"/>
    <xf numFmtId="9" fontId="48" fillId="32" borderId="22" xfId="44" applyFont="1" applyFill="1" applyBorder="1" applyAlignment="1">
      <alignment horizontal="center"/>
    </xf>
    <xf numFmtId="0" fontId="0" fillId="29" borderId="25" xfId="0" applyFill="1" applyBorder="1"/>
    <xf numFmtId="0" fontId="9" fillId="29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top" wrapText="1"/>
    </xf>
    <xf numFmtId="0" fontId="44" fillId="0" borderId="0" xfId="0" applyFont="1"/>
    <xf numFmtId="9" fontId="39" fillId="28" borderId="0" xfId="0" applyNumberFormat="1" applyFont="1" applyFill="1"/>
    <xf numFmtId="6" fontId="39" fillId="0" borderId="0" xfId="0" applyNumberFormat="1" applyFont="1"/>
    <xf numFmtId="165" fontId="39" fillId="0" borderId="0" xfId="0" applyNumberFormat="1" applyFont="1"/>
    <xf numFmtId="9" fontId="39" fillId="0" borderId="0" xfId="0" applyNumberFormat="1" applyFont="1"/>
    <xf numFmtId="6" fontId="53" fillId="0" borderId="0" xfId="0" applyNumberFormat="1" applyFont="1"/>
    <xf numFmtId="0" fontId="39" fillId="0" borderId="0" xfId="0" quotePrefix="1" applyFont="1"/>
    <xf numFmtId="0" fontId="39" fillId="34" borderId="0" xfId="0" applyFont="1" applyFill="1"/>
    <xf numFmtId="168" fontId="53" fillId="34" borderId="0" xfId="0" applyNumberFormat="1" applyFont="1" applyFill="1"/>
    <xf numFmtId="169" fontId="39" fillId="34" borderId="0" xfId="0" applyNumberFormat="1" applyFont="1" applyFill="1"/>
    <xf numFmtId="8" fontId="39" fillId="0" borderId="0" xfId="0" applyNumberFormat="1" applyFont="1"/>
    <xf numFmtId="167" fontId="39" fillId="0" borderId="0" xfId="28" applyNumberFormat="1" applyFont="1" applyAlignment="1">
      <alignment horizontal="center" vertical="center"/>
    </xf>
    <xf numFmtId="167" fontId="39" fillId="0" borderId="0" xfId="28" applyNumberFormat="1" applyFont="1" applyFill="1" applyAlignment="1">
      <alignment horizontal="center" vertical="center" wrapText="1"/>
    </xf>
    <xf numFmtId="0" fontId="39" fillId="0" borderId="0" xfId="0" applyFont="1" applyAlignment="1">
      <alignment wrapText="1"/>
    </xf>
    <xf numFmtId="167" fontId="39" fillId="0" borderId="0" xfId="44" applyNumberFormat="1" applyFont="1" applyFill="1"/>
    <xf numFmtId="14" fontId="39" fillId="29" borderId="34" xfId="0" applyNumberFormat="1" applyFont="1" applyFill="1" applyBorder="1" applyAlignment="1">
      <alignment horizontal="left"/>
    </xf>
    <xf numFmtId="0" fontId="39" fillId="29" borderId="0" xfId="0" applyFont="1" applyFill="1"/>
    <xf numFmtId="0" fontId="0" fillId="34" borderId="27" xfId="0" applyFill="1" applyBorder="1"/>
    <xf numFmtId="0" fontId="0" fillId="34" borderId="22" xfId="0" applyFill="1" applyBorder="1"/>
    <xf numFmtId="0" fontId="9" fillId="34" borderId="23" xfId="0" applyFont="1" applyFill="1" applyBorder="1"/>
    <xf numFmtId="0" fontId="36" fillId="34" borderId="22" xfId="0" applyFont="1" applyFill="1" applyBorder="1"/>
    <xf numFmtId="167" fontId="39" fillId="34" borderId="0" xfId="28" applyNumberFormat="1" applyFont="1" applyFill="1" applyBorder="1" applyAlignment="1">
      <alignment horizontal="right"/>
    </xf>
    <xf numFmtId="167" fontId="7" fillId="34" borderId="0" xfId="28" applyNumberFormat="1" applyFont="1" applyFill="1" applyBorder="1" applyAlignment="1">
      <alignment horizontal="right"/>
    </xf>
    <xf numFmtId="167" fontId="7" fillId="34" borderId="35" xfId="28" applyNumberFormat="1" applyFont="1" applyFill="1" applyBorder="1" applyAlignment="1">
      <alignment horizontal="right"/>
    </xf>
    <xf numFmtId="0" fontId="38" fillId="34" borderId="26" xfId="0" applyFont="1" applyFill="1" applyBorder="1" applyAlignment="1">
      <alignment horizontal="left" vertical="top"/>
    </xf>
    <xf numFmtId="0" fontId="0" fillId="34" borderId="34" xfId="0" applyFill="1" applyBorder="1"/>
    <xf numFmtId="0" fontId="7" fillId="0" borderId="0" xfId="0" applyFont="1" applyAlignment="1">
      <alignment horizontal="left" vertical="top"/>
    </xf>
    <xf numFmtId="0" fontId="7" fillId="24" borderId="0" xfId="0" applyFont="1" applyFill="1"/>
    <xf numFmtId="0" fontId="7" fillId="28" borderId="0" xfId="0" applyFont="1" applyFill="1"/>
    <xf numFmtId="0" fontId="7" fillId="25" borderId="0" xfId="0" applyFont="1" applyFill="1"/>
    <xf numFmtId="0" fontId="7" fillId="26" borderId="0" xfId="0" applyFont="1" applyFill="1"/>
    <xf numFmtId="0" fontId="7" fillId="28" borderId="0" xfId="0" applyFont="1" applyFill="1" applyAlignment="1" applyProtection="1">
      <alignment wrapText="1"/>
      <protection locked="0"/>
    </xf>
    <xf numFmtId="2" fontId="7" fillId="0" borderId="0" xfId="0" applyNumberFormat="1" applyFont="1"/>
    <xf numFmtId="0" fontId="7" fillId="28" borderId="0" xfId="0" applyFont="1" applyFill="1" applyProtection="1">
      <protection locked="0"/>
    </xf>
    <xf numFmtId="6" fontId="7" fillId="28" borderId="0" xfId="0" applyNumberFormat="1" applyFont="1" applyFill="1"/>
    <xf numFmtId="0" fontId="54" fillId="0" borderId="0" xfId="0" applyFont="1"/>
    <xf numFmtId="0" fontId="7" fillId="0" borderId="12" xfId="0" applyFont="1" applyBorder="1" applyAlignment="1" applyProtection="1">
      <alignment wrapText="1"/>
      <protection locked="0"/>
    </xf>
    <xf numFmtId="9" fontId="7" fillId="24" borderId="0" xfId="0" applyNumberFormat="1" applyFont="1" applyFill="1"/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7" fillId="0" borderId="0" xfId="35" applyFont="1" applyAlignment="1" applyProtection="1"/>
    <xf numFmtId="0" fontId="7" fillId="30" borderId="27" xfId="0" applyFont="1" applyFill="1" applyBorder="1"/>
    <xf numFmtId="44" fontId="7" fillId="30" borderId="23" xfId="28" applyFont="1" applyFill="1" applyBorder="1"/>
    <xf numFmtId="43" fontId="7" fillId="27" borderId="0" xfId="61" applyFont="1" applyFill="1"/>
    <xf numFmtId="167" fontId="39" fillId="0" borderId="0" xfId="28" applyNumberFormat="1" applyFont="1" applyFill="1"/>
    <xf numFmtId="44" fontId="39" fillId="0" borderId="0" xfId="0" applyNumberFormat="1" applyFont="1" applyAlignment="1">
      <alignment wrapText="1"/>
    </xf>
    <xf numFmtId="167" fontId="7" fillId="0" borderId="0" xfId="44" applyNumberFormat="1" applyFont="1" applyFill="1"/>
    <xf numFmtId="1" fontId="33" fillId="0" borderId="0" xfId="0" applyNumberFormat="1" applyFont="1"/>
    <xf numFmtId="165" fontId="9" fillId="0" borderId="36" xfId="0" applyNumberFormat="1" applyFont="1" applyBorder="1"/>
    <xf numFmtId="0" fontId="48" fillId="0" borderId="0" xfId="0" applyFont="1" applyAlignment="1" applyProtection="1">
      <alignment vertical="top" wrapText="1"/>
      <protection hidden="1"/>
    </xf>
    <xf numFmtId="9" fontId="55" fillId="0" borderId="0" xfId="0" applyNumberFormat="1" applyFont="1"/>
    <xf numFmtId="6" fontId="56" fillId="0" borderId="0" xfId="0" applyNumberFormat="1" applyFont="1"/>
    <xf numFmtId="0" fontId="55" fillId="0" borderId="0" xfId="0" applyFont="1"/>
    <xf numFmtId="167" fontId="7" fillId="0" borderId="16" xfId="0" applyNumberFormat="1" applyFont="1" applyBorder="1"/>
    <xf numFmtId="167" fontId="0" fillId="0" borderId="0" xfId="0" applyNumberFormat="1"/>
    <xf numFmtId="167" fontId="0" fillId="0" borderId="0" xfId="28" applyNumberFormat="1" applyFont="1" applyBorder="1"/>
    <xf numFmtId="44" fontId="0" fillId="29" borderId="0" xfId="28" applyFont="1" applyFill="1" applyBorder="1"/>
    <xf numFmtId="167" fontId="7" fillId="0" borderId="0" xfId="0" applyNumberFormat="1" applyFont="1"/>
    <xf numFmtId="0" fontId="55" fillId="0" borderId="0" xfId="0" applyFont="1" applyAlignment="1">
      <alignment vertical="top"/>
    </xf>
    <xf numFmtId="12" fontId="30" fillId="0" borderId="0" xfId="0" applyNumberFormat="1" applyFont="1"/>
    <xf numFmtId="0" fontId="10" fillId="29" borderId="18" xfId="0" applyFont="1" applyFill="1" applyBorder="1" applyAlignment="1">
      <alignment horizontal="left"/>
    </xf>
    <xf numFmtId="0" fontId="39" fillId="0" borderId="0" xfId="63" applyFont="1"/>
    <xf numFmtId="0" fontId="7" fillId="0" borderId="0" xfId="63"/>
    <xf numFmtId="0" fontId="9" fillId="0" borderId="0" xfId="63" applyFont="1"/>
    <xf numFmtId="0" fontId="9" fillId="0" borderId="18" xfId="63" applyFont="1" applyBorder="1" applyAlignment="1">
      <alignment horizontal="center" vertical="center"/>
    </xf>
    <xf numFmtId="0" fontId="7" fillId="0" borderId="11" xfId="63" applyBorder="1" applyAlignment="1">
      <alignment horizontal="left"/>
    </xf>
    <xf numFmtId="44" fontId="7" fillId="0" borderId="0" xfId="63" applyNumberFormat="1"/>
    <xf numFmtId="6" fontId="7" fillId="0" borderId="0" xfId="63" applyNumberFormat="1"/>
    <xf numFmtId="0" fontId="0" fillId="0" borderId="19" xfId="0" applyBorder="1"/>
    <xf numFmtId="167" fontId="10" fillId="29" borderId="0" xfId="28" applyNumberFormat="1" applyFont="1" applyFill="1" applyBorder="1" applyAlignment="1"/>
    <xf numFmtId="167" fontId="7" fillId="0" borderId="0" xfId="28" applyNumberFormat="1" applyFont="1" applyFill="1" applyBorder="1" applyAlignment="1"/>
    <xf numFmtId="0" fontId="34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left"/>
    </xf>
    <xf numFmtId="0" fontId="10" fillId="0" borderId="10" xfId="63" applyFont="1" applyBorder="1" applyAlignment="1">
      <alignment horizontal="right"/>
    </xf>
    <xf numFmtId="44" fontId="10" fillId="0" borderId="39" xfId="63" applyNumberFormat="1" applyFont="1" applyBorder="1"/>
    <xf numFmtId="0" fontId="10" fillId="0" borderId="0" xfId="63" applyFont="1" applyAlignment="1">
      <alignment horizontal="right"/>
    </xf>
    <xf numFmtId="43" fontId="10" fillId="0" borderId="0" xfId="63" applyNumberFormat="1" applyFont="1"/>
    <xf numFmtId="0" fontId="7" fillId="0" borderId="20" xfId="63" applyBorder="1"/>
    <xf numFmtId="0" fontId="7" fillId="0" borderId="21" xfId="63" applyBorder="1"/>
    <xf numFmtId="0" fontId="9" fillId="33" borderId="0" xfId="63" applyFont="1" applyFill="1"/>
    <xf numFmtId="0" fontId="9" fillId="0" borderId="12" xfId="63" applyFont="1" applyBorder="1" applyAlignment="1">
      <alignment horizontal="right"/>
    </xf>
    <xf numFmtId="0" fontId="7" fillId="0" borderId="12" xfId="63" applyBorder="1"/>
    <xf numFmtId="8" fontId="7" fillId="0" borderId="0" xfId="63" applyNumberFormat="1"/>
    <xf numFmtId="8" fontId="7" fillId="0" borderId="12" xfId="63" applyNumberFormat="1" applyBorder="1"/>
    <xf numFmtId="6" fontId="7" fillId="0" borderId="12" xfId="63" applyNumberFormat="1" applyBorder="1"/>
    <xf numFmtId="0" fontId="9" fillId="0" borderId="0" xfId="63" applyFont="1" applyAlignment="1">
      <alignment horizontal="right"/>
    </xf>
    <xf numFmtId="44" fontId="7" fillId="0" borderId="0" xfId="0" applyNumberFormat="1" applyFont="1"/>
    <xf numFmtId="6" fontId="7" fillId="0" borderId="12" xfId="0" applyNumberFormat="1" applyFont="1" applyBorder="1"/>
    <xf numFmtId="167" fontId="10" fillId="0" borderId="0" xfId="0" applyNumberFormat="1" applyFont="1"/>
    <xf numFmtId="167" fontId="7" fillId="0" borderId="0" xfId="28" applyNumberFormat="1" applyFont="1"/>
    <xf numFmtId="167" fontId="39" fillId="0" borderId="0" xfId="28" applyNumberFormat="1" applyFont="1"/>
    <xf numFmtId="44" fontId="7" fillId="0" borderId="18" xfId="28" applyFont="1" applyBorder="1"/>
    <xf numFmtId="0" fontId="0" fillId="33" borderId="35" xfId="0" applyFill="1" applyBorder="1"/>
    <xf numFmtId="0" fontId="47" fillId="35" borderId="26" xfId="0" applyFont="1" applyFill="1" applyBorder="1"/>
    <xf numFmtId="0" fontId="37" fillId="35" borderId="27" xfId="0" applyFont="1" applyFill="1" applyBorder="1"/>
    <xf numFmtId="0" fontId="37" fillId="35" borderId="22" xfId="0" applyFont="1" applyFill="1" applyBorder="1"/>
    <xf numFmtId="0" fontId="37" fillId="35" borderId="23" xfId="0" applyFont="1" applyFill="1" applyBorder="1"/>
    <xf numFmtId="0" fontId="37" fillId="35" borderId="43" xfId="0" applyFont="1" applyFill="1" applyBorder="1"/>
    <xf numFmtId="0" fontId="37" fillId="35" borderId="46" xfId="0" applyFont="1" applyFill="1" applyBorder="1" applyAlignment="1">
      <alignment horizontal="center"/>
    </xf>
    <xf numFmtId="0" fontId="37" fillId="35" borderId="47" xfId="0" applyFont="1" applyFill="1" applyBorder="1"/>
    <xf numFmtId="0" fontId="37" fillId="35" borderId="48" xfId="0" applyFont="1" applyFill="1" applyBorder="1" applyAlignment="1">
      <alignment horizontal="center"/>
    </xf>
    <xf numFmtId="0" fontId="51" fillId="35" borderId="22" xfId="0" applyFont="1" applyFill="1" applyBorder="1"/>
    <xf numFmtId="0" fontId="58" fillId="35" borderId="22" xfId="0" applyFont="1" applyFill="1" applyBorder="1"/>
    <xf numFmtId="167" fontId="37" fillId="35" borderId="23" xfId="28" applyNumberFormat="1" applyFont="1" applyFill="1" applyBorder="1"/>
    <xf numFmtId="0" fontId="37" fillId="35" borderId="49" xfId="0" applyFont="1" applyFill="1" applyBorder="1"/>
    <xf numFmtId="167" fontId="37" fillId="35" borderId="38" xfId="28" applyNumberFormat="1" applyFont="1" applyFill="1" applyBorder="1"/>
    <xf numFmtId="167" fontId="58" fillId="35" borderId="23" xfId="28" applyNumberFormat="1" applyFont="1" applyFill="1" applyBorder="1"/>
    <xf numFmtId="0" fontId="51" fillId="35" borderId="49" xfId="0" applyFont="1" applyFill="1" applyBorder="1"/>
    <xf numFmtId="167" fontId="51" fillId="35" borderId="38" xfId="28" applyNumberFormat="1" applyFont="1" applyFill="1" applyBorder="1"/>
    <xf numFmtId="6" fontId="37" fillId="35" borderId="23" xfId="0" applyNumberFormat="1" applyFont="1" applyFill="1" applyBorder="1"/>
    <xf numFmtId="0" fontId="37" fillId="35" borderId="24" xfId="0" applyFont="1" applyFill="1" applyBorder="1"/>
    <xf numFmtId="9" fontId="37" fillId="35" borderId="25" xfId="44" applyFont="1" applyFill="1" applyBorder="1"/>
    <xf numFmtId="167" fontId="37" fillId="35" borderId="38" xfId="0" applyNumberFormat="1" applyFont="1" applyFill="1" applyBorder="1"/>
    <xf numFmtId="167" fontId="37" fillId="35" borderId="23" xfId="0" applyNumberFormat="1" applyFont="1" applyFill="1" applyBorder="1"/>
    <xf numFmtId="1" fontId="0" fillId="0" borderId="11" xfId="28" applyNumberFormat="1" applyFont="1" applyFill="1" applyBorder="1"/>
    <xf numFmtId="167" fontId="44" fillId="0" borderId="0" xfId="28" applyNumberFormat="1" applyFont="1" applyFill="1"/>
    <xf numFmtId="1" fontId="10" fillId="0" borderId="0" xfId="0" applyNumberFormat="1" applyFont="1"/>
    <xf numFmtId="166" fontId="7" fillId="0" borderId="0" xfId="63" applyNumberFormat="1"/>
    <xf numFmtId="0" fontId="7" fillId="0" borderId="0" xfId="67"/>
    <xf numFmtId="0" fontId="59" fillId="27" borderId="0" xfId="67" applyFont="1" applyFill="1"/>
    <xf numFmtId="0" fontId="7" fillId="36" borderId="0" xfId="67" applyFill="1"/>
    <xf numFmtId="0" fontId="7" fillId="0" borderId="0" xfId="67" quotePrefix="1"/>
    <xf numFmtId="0" fontId="7" fillId="0" borderId="0" xfId="67" applyAlignment="1">
      <alignment wrapText="1"/>
    </xf>
    <xf numFmtId="0" fontId="7" fillId="0" borderId="0" xfId="67" applyAlignment="1">
      <alignment horizontal="center"/>
    </xf>
    <xf numFmtId="0" fontId="7" fillId="0" borderId="0" xfId="67" applyAlignment="1">
      <alignment horizontal="center" wrapText="1"/>
    </xf>
    <xf numFmtId="8" fontId="7" fillId="0" borderId="0" xfId="67" applyNumberFormat="1"/>
    <xf numFmtId="8" fontId="7" fillId="28" borderId="0" xfId="67" applyNumberFormat="1" applyFill="1"/>
    <xf numFmtId="0" fontId="7" fillId="29" borderId="15" xfId="0" applyFont="1" applyFill="1" applyBorder="1" applyAlignment="1">
      <alignment horizontal="right"/>
    </xf>
    <xf numFmtId="9" fontId="0" fillId="29" borderId="17" xfId="44" applyFont="1" applyFill="1" applyBorder="1"/>
    <xf numFmtId="9" fontId="39" fillId="29" borderId="0" xfId="44" applyFont="1" applyFill="1" applyBorder="1" applyAlignment="1">
      <alignment wrapText="1"/>
    </xf>
    <xf numFmtId="0" fontId="39" fillId="0" borderId="0" xfId="0" applyFont="1" applyAlignment="1">
      <alignment horizontal="left"/>
    </xf>
    <xf numFmtId="0" fontId="9" fillId="37" borderId="0" xfId="63" applyFont="1" applyFill="1"/>
    <xf numFmtId="44" fontId="0" fillId="0" borderId="0" xfId="0" applyNumberFormat="1"/>
    <xf numFmtId="0" fontId="9" fillId="0" borderId="12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/>
    </xf>
    <xf numFmtId="0" fontId="9" fillId="0" borderId="11" xfId="0" applyFont="1" applyBorder="1" applyAlignment="1">
      <alignment horizontal="left"/>
    </xf>
    <xf numFmtId="166" fontId="39" fillId="0" borderId="0" xfId="0" applyNumberFormat="1" applyFont="1"/>
    <xf numFmtId="2" fontId="53" fillId="0" borderId="0" xfId="0" applyNumberFormat="1" applyFont="1"/>
    <xf numFmtId="9" fontId="10" fillId="0" borderId="0" xfId="0" applyNumberFormat="1" applyFont="1"/>
    <xf numFmtId="0" fontId="62" fillId="0" borderId="0" xfId="0" applyFont="1"/>
    <xf numFmtId="0" fontId="9" fillId="0" borderId="0" xfId="67" applyFont="1"/>
    <xf numFmtId="0" fontId="7" fillId="0" borderId="50" xfId="67" applyBorder="1" applyAlignment="1">
      <alignment horizontal="center" wrapText="1"/>
    </xf>
    <xf numFmtId="44" fontId="7" fillId="0" borderId="51" xfId="67" applyNumberFormat="1" applyBorder="1"/>
    <xf numFmtId="44" fontId="7" fillId="0" borderId="0" xfId="67" applyNumberFormat="1"/>
    <xf numFmtId="9" fontId="7" fillId="0" borderId="0" xfId="68" applyFont="1"/>
    <xf numFmtId="0" fontId="63" fillId="0" borderId="0" xfId="67" applyFont="1"/>
    <xf numFmtId="44" fontId="10" fillId="0" borderId="0" xfId="67" applyNumberFormat="1" applyFont="1"/>
    <xf numFmtId="0" fontId="7" fillId="38" borderId="0" xfId="67" applyFill="1"/>
    <xf numFmtId="0" fontId="1" fillId="0" borderId="0" xfId="60"/>
    <xf numFmtId="0" fontId="64" fillId="0" borderId="0" xfId="60" applyFont="1"/>
    <xf numFmtId="0" fontId="9" fillId="0" borderId="11" xfId="67" applyFont="1" applyBorder="1"/>
    <xf numFmtId="44" fontId="7" fillId="0" borderId="11" xfId="67" applyNumberFormat="1" applyBorder="1"/>
    <xf numFmtId="0" fontId="7" fillId="0" borderId="11" xfId="67" applyBorder="1"/>
    <xf numFmtId="44" fontId="7" fillId="0" borderId="11" xfId="67" applyNumberFormat="1" applyBorder="1" applyAlignment="1">
      <alignment horizontal="right"/>
    </xf>
    <xf numFmtId="164" fontId="7" fillId="0" borderId="11" xfId="67" applyNumberFormat="1" applyBorder="1"/>
    <xf numFmtId="2" fontId="7" fillId="0" borderId="11" xfId="67" applyNumberFormat="1" applyBorder="1"/>
    <xf numFmtId="0" fontId="65" fillId="0" borderId="0" xfId="60" applyFont="1"/>
    <xf numFmtId="164" fontId="7" fillId="0" borderId="11" xfId="67" applyNumberFormat="1" applyBorder="1" applyAlignment="1">
      <alignment horizontal="right"/>
    </xf>
    <xf numFmtId="44" fontId="0" fillId="0" borderId="0" xfId="66" applyFont="1"/>
    <xf numFmtId="167" fontId="0" fillId="0" borderId="0" xfId="66" applyNumberFormat="1" applyFont="1"/>
    <xf numFmtId="43" fontId="0" fillId="0" borderId="0" xfId="69" applyFont="1"/>
    <xf numFmtId="0" fontId="7" fillId="29" borderId="23" xfId="0" applyFont="1" applyFill="1" applyBorder="1"/>
    <xf numFmtId="0" fontId="67" fillId="0" borderId="0" xfId="0" applyFont="1"/>
    <xf numFmtId="167" fontId="67" fillId="0" borderId="0" xfId="0" applyNumberFormat="1" applyFont="1"/>
    <xf numFmtId="0" fontId="9" fillId="34" borderId="0" xfId="0" applyFont="1" applyFill="1" applyAlignment="1">
      <alignment horizontal="right"/>
    </xf>
    <xf numFmtId="0" fontId="0" fillId="34" borderId="24" xfId="0" applyFill="1" applyBorder="1"/>
    <xf numFmtId="10" fontId="39" fillId="0" borderId="0" xfId="0" applyNumberFormat="1" applyFont="1"/>
    <xf numFmtId="44" fontId="7" fillId="0" borderId="0" xfId="0" applyNumberFormat="1" applyFont="1" applyAlignment="1">
      <alignment horizontal="right" wrapText="1"/>
    </xf>
    <xf numFmtId="167" fontId="7" fillId="29" borderId="0" xfId="28" applyNumberFormat="1" applyFont="1" applyFill="1" applyBorder="1" applyAlignment="1">
      <alignment horizontal="right"/>
    </xf>
    <xf numFmtId="0" fontId="68" fillId="39" borderId="26" xfId="0" applyFont="1" applyFill="1" applyBorder="1" applyAlignment="1">
      <alignment horizontal="left"/>
    </xf>
    <xf numFmtId="0" fontId="39" fillId="39" borderId="34" xfId="0" applyFont="1" applyFill="1" applyBorder="1"/>
    <xf numFmtId="0" fontId="53" fillId="39" borderId="34" xfId="0" applyFont="1" applyFill="1" applyBorder="1" applyAlignment="1">
      <alignment horizontal="center" vertical="center"/>
    </xf>
    <xf numFmtId="0" fontId="39" fillId="39" borderId="22" xfId="0" applyFont="1" applyFill="1" applyBorder="1"/>
    <xf numFmtId="0" fontId="39" fillId="39" borderId="35" xfId="0" applyFont="1" applyFill="1" applyBorder="1"/>
    <xf numFmtId="0" fontId="53" fillId="40" borderId="34" xfId="0" applyFont="1" applyFill="1" applyBorder="1" applyAlignment="1">
      <alignment horizontal="center" vertical="center"/>
    </xf>
    <xf numFmtId="0" fontId="39" fillId="40" borderId="22" xfId="0" applyFont="1" applyFill="1" applyBorder="1"/>
    <xf numFmtId="0" fontId="39" fillId="40" borderId="35" xfId="0" applyFont="1" applyFill="1" applyBorder="1"/>
    <xf numFmtId="0" fontId="7" fillId="0" borderId="16" xfId="0" applyFont="1" applyBorder="1"/>
    <xf numFmtId="167" fontId="7" fillId="0" borderId="16" xfId="28" applyNumberFormat="1" applyFont="1" applyBorder="1"/>
    <xf numFmtId="165" fontId="7" fillId="0" borderId="16" xfId="0" applyNumberFormat="1" applyFont="1" applyBorder="1"/>
    <xf numFmtId="44" fontId="7" fillId="0" borderId="13" xfId="28" applyFont="1" applyBorder="1"/>
    <xf numFmtId="44" fontId="7" fillId="0" borderId="0" xfId="28" applyFont="1"/>
    <xf numFmtId="167" fontId="10" fillId="0" borderId="0" xfId="28" applyNumberFormat="1" applyFont="1"/>
    <xf numFmtId="165" fontId="9" fillId="0" borderId="0" xfId="63" applyNumberFormat="1" applyFont="1"/>
    <xf numFmtId="165" fontId="9" fillId="0" borderId="0" xfId="63" applyNumberFormat="1" applyFont="1" applyAlignment="1">
      <alignment horizontal="center" vertical="center"/>
    </xf>
    <xf numFmtId="165" fontId="7" fillId="0" borderId="0" xfId="63" applyNumberFormat="1"/>
    <xf numFmtId="165" fontId="9" fillId="0" borderId="11" xfId="63" applyNumberFormat="1" applyFont="1" applyBorder="1"/>
    <xf numFmtId="165" fontId="9" fillId="0" borderId="11" xfId="63" applyNumberFormat="1" applyFont="1" applyBorder="1" applyAlignment="1">
      <alignment horizontal="center" vertical="center"/>
    </xf>
    <xf numFmtId="165" fontId="39" fillId="0" borderId="11" xfId="28" applyNumberFormat="1" applyFont="1" applyFill="1" applyBorder="1"/>
    <xf numFmtId="165" fontId="7" fillId="0" borderId="11" xfId="28" applyNumberFormat="1" applyFill="1" applyBorder="1"/>
    <xf numFmtId="165" fontId="1" fillId="0" borderId="11" xfId="0" applyNumberFormat="1" applyFont="1" applyBorder="1"/>
    <xf numFmtId="165" fontId="0" fillId="0" borderId="11" xfId="0" applyNumberFormat="1" applyBorder="1"/>
    <xf numFmtId="165" fontId="7" fillId="0" borderId="11" xfId="63" applyNumberFormat="1" applyBorder="1"/>
    <xf numFmtId="165" fontId="0" fillId="0" borderId="11" xfId="28" applyNumberFormat="1" applyFont="1" applyFill="1" applyBorder="1"/>
    <xf numFmtId="0" fontId="38" fillId="0" borderId="0" xfId="67" applyFont="1"/>
    <xf numFmtId="0" fontId="69" fillId="0" borderId="53" xfId="0" applyFont="1" applyBorder="1" applyAlignment="1">
      <alignment vertical="center" wrapText="1"/>
    </xf>
    <xf numFmtId="0" fontId="69" fillId="0" borderId="54" xfId="0" applyFont="1" applyBorder="1" applyAlignment="1">
      <alignment vertical="center" wrapText="1"/>
    </xf>
    <xf numFmtId="0" fontId="7" fillId="0" borderId="16" xfId="67" applyBorder="1"/>
    <xf numFmtId="0" fontId="0" fillId="0" borderId="16" xfId="0" applyBorder="1"/>
    <xf numFmtId="0" fontId="44" fillId="0" borderId="13" xfId="0" applyFont="1" applyBorder="1" applyAlignment="1">
      <alignment horizontal="right" vertical="center"/>
    </xf>
    <xf numFmtId="0" fontId="0" fillId="27" borderId="11" xfId="0" applyFill="1" applyBorder="1" applyProtection="1">
      <protection locked="0"/>
    </xf>
    <xf numFmtId="0" fontId="49" fillId="29" borderId="0" xfId="0" applyFont="1" applyFill="1" applyAlignment="1">
      <alignment horizontal="left"/>
    </xf>
    <xf numFmtId="20" fontId="48" fillId="29" borderId="0" xfId="0" quotePrefix="1" applyNumberFormat="1" applyFont="1" applyFill="1" applyAlignment="1">
      <alignment horizontal="right"/>
    </xf>
    <xf numFmtId="9" fontId="48" fillId="29" borderId="0" xfId="44" applyFont="1" applyFill="1" applyBorder="1" applyAlignment="1">
      <alignment horizontal="left"/>
    </xf>
    <xf numFmtId="0" fontId="57" fillId="29" borderId="0" xfId="0" applyFont="1" applyFill="1"/>
    <xf numFmtId="0" fontId="48" fillId="29" borderId="0" xfId="0" applyFont="1" applyFill="1" applyAlignment="1">
      <alignment horizontal="left"/>
    </xf>
    <xf numFmtId="0" fontId="48" fillId="29" borderId="0" xfId="0" applyFont="1" applyFill="1" applyAlignment="1">
      <alignment horizontal="left" vertical="center"/>
    </xf>
    <xf numFmtId="43" fontId="39" fillId="29" borderId="0" xfId="69" applyFont="1" applyFill="1"/>
    <xf numFmtId="44" fontId="39" fillId="29" borderId="0" xfId="28" applyFont="1" applyFill="1"/>
    <xf numFmtId="6" fontId="48" fillId="29" borderId="0" xfId="0" applyNumberFormat="1" applyFont="1" applyFill="1"/>
    <xf numFmtId="8" fontId="48" fillId="29" borderId="0" xfId="0" applyNumberFormat="1" applyFont="1" applyFill="1"/>
    <xf numFmtId="165" fontId="48" fillId="29" borderId="0" xfId="0" applyNumberFormat="1" applyFont="1" applyFill="1"/>
    <xf numFmtId="9" fontId="7" fillId="27" borderId="11" xfId="44" applyFont="1" applyFill="1" applyBorder="1" applyAlignment="1" applyProtection="1">
      <alignment horizontal="center" vertical="center" wrapText="1"/>
      <protection locked="0"/>
    </xf>
    <xf numFmtId="44" fontId="39" fillId="27" borderId="44" xfId="28" applyFont="1" applyFill="1" applyBorder="1" applyProtection="1">
      <protection locked="0"/>
    </xf>
    <xf numFmtId="44" fontId="0" fillId="27" borderId="44" xfId="28" applyFont="1" applyFill="1" applyBorder="1" applyProtection="1">
      <protection locked="0"/>
    </xf>
    <xf numFmtId="44" fontId="0" fillId="27" borderId="45" xfId="28" applyFont="1" applyFill="1" applyBorder="1" applyProtection="1">
      <protection locked="0"/>
    </xf>
    <xf numFmtId="9" fontId="0" fillId="27" borderId="11" xfId="0" applyNumberFormat="1" applyFill="1" applyBorder="1" applyAlignment="1" applyProtection="1">
      <alignment horizontal="right"/>
      <protection locked="0"/>
    </xf>
    <xf numFmtId="0" fontId="7" fillId="27" borderId="11" xfId="0" applyFont="1" applyFill="1" applyBorder="1" applyProtection="1">
      <protection locked="0"/>
    </xf>
    <xf numFmtId="44" fontId="7" fillId="27" borderId="11" xfId="0" applyNumberFormat="1" applyFont="1" applyFill="1" applyBorder="1" applyAlignment="1" applyProtection="1">
      <alignment horizontal="right" wrapText="1"/>
      <protection locked="0"/>
    </xf>
    <xf numFmtId="165" fontId="0" fillId="33" borderId="23" xfId="0" applyNumberFormat="1" applyFill="1" applyBorder="1" applyAlignment="1">
      <alignment horizontal="center" vertical="center"/>
    </xf>
    <xf numFmtId="165" fontId="0" fillId="33" borderId="35" xfId="0" applyNumberFormat="1" applyFill="1" applyBorder="1" applyAlignment="1">
      <alignment horizontal="center" vertical="center"/>
    </xf>
    <xf numFmtId="165" fontId="0" fillId="33" borderId="25" xfId="0" applyNumberFormat="1" applyFill="1" applyBorder="1" applyAlignment="1">
      <alignment horizontal="center" vertical="center"/>
    </xf>
    <xf numFmtId="165" fontId="39" fillId="39" borderId="35" xfId="0" applyNumberFormat="1" applyFont="1" applyFill="1" applyBorder="1" applyAlignment="1">
      <alignment horizontal="center" vertical="center"/>
    </xf>
    <xf numFmtId="165" fontId="39" fillId="40" borderId="35" xfId="0" applyNumberFormat="1" applyFont="1" applyFill="1" applyBorder="1" applyAlignment="1">
      <alignment horizontal="center" vertical="center"/>
    </xf>
    <xf numFmtId="0" fontId="9" fillId="29" borderId="0" xfId="0" applyFont="1" applyFill="1"/>
    <xf numFmtId="0" fontId="40" fillId="29" borderId="0" xfId="0" applyFont="1" applyFill="1"/>
    <xf numFmtId="0" fontId="9" fillId="26" borderId="0" xfId="0" applyFont="1" applyFill="1"/>
    <xf numFmtId="0" fontId="0" fillId="26" borderId="0" xfId="0" applyFill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40" fillId="29" borderId="0" xfId="0" applyFont="1" applyFill="1" applyAlignment="1">
      <alignment horizontal="right"/>
    </xf>
    <xf numFmtId="0" fontId="9" fillId="26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26" borderId="0" xfId="0" applyFont="1" applyFill="1" applyAlignment="1">
      <alignment horizontal="left"/>
    </xf>
    <xf numFmtId="0" fontId="50" fillId="26" borderId="0" xfId="0" applyFont="1" applyFill="1" applyAlignment="1">
      <alignment vertical="center"/>
    </xf>
    <xf numFmtId="0" fontId="9" fillId="29" borderId="0" xfId="0" applyFont="1" applyFill="1" applyAlignment="1">
      <alignment horizontal="left"/>
    </xf>
    <xf numFmtId="0" fontId="34" fillId="29" borderId="0" xfId="0" applyFont="1" applyFill="1"/>
    <xf numFmtId="0" fontId="34" fillId="26" borderId="0" xfId="0" applyFont="1" applyFill="1"/>
    <xf numFmtId="0" fontId="10" fillId="29" borderId="0" xfId="0" applyFont="1" applyFill="1" applyAlignment="1">
      <alignment horizontal="left"/>
    </xf>
    <xf numFmtId="0" fontId="10" fillId="29" borderId="0" xfId="0" applyFont="1" applyFill="1"/>
    <xf numFmtId="0" fontId="7" fillId="29" borderId="0" xfId="0" applyFont="1" applyFill="1" applyAlignment="1">
      <alignment horizontal="right"/>
    </xf>
    <xf numFmtId="0" fontId="10" fillId="29" borderId="0" xfId="0" applyFont="1" applyFill="1" applyAlignment="1">
      <alignment horizontal="right"/>
    </xf>
    <xf numFmtId="0" fontId="46" fillId="29" borderId="34" xfId="0" applyFont="1" applyFill="1" applyBorder="1"/>
    <xf numFmtId="0" fontId="7" fillId="29" borderId="0" xfId="0" applyFont="1" applyFill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0" fillId="29" borderId="0" xfId="0" applyFont="1" applyFill="1" applyAlignment="1">
      <alignment horizontal="left"/>
    </xf>
    <xf numFmtId="0" fontId="48" fillId="26" borderId="0" xfId="0" applyFont="1" applyFill="1"/>
    <xf numFmtId="9" fontId="0" fillId="29" borderId="0" xfId="0" applyNumberFormat="1" applyFill="1" applyAlignment="1">
      <alignment horizontal="right"/>
    </xf>
    <xf numFmtId="44" fontId="0" fillId="29" borderId="0" xfId="0" applyNumberFormat="1" applyFill="1"/>
    <xf numFmtId="0" fontId="10" fillId="29" borderId="24" xfId="0" applyFont="1" applyFill="1" applyBorder="1"/>
    <xf numFmtId="165" fontId="7" fillId="0" borderId="11" xfId="28" applyNumberFormat="1" applyFont="1" applyFill="1" applyBorder="1"/>
    <xf numFmtId="165" fontId="7" fillId="0" borderId="11" xfId="0" applyNumberFormat="1" applyFont="1" applyBorder="1"/>
    <xf numFmtId="0" fontId="9" fillId="0" borderId="40" xfId="63" applyFont="1" applyBorder="1"/>
    <xf numFmtId="0" fontId="9" fillId="0" borderId="40" xfId="63" applyFont="1" applyBorder="1" applyAlignment="1">
      <alignment horizontal="center" vertical="center"/>
    </xf>
    <xf numFmtId="0" fontId="9" fillId="28" borderId="11" xfId="63" applyFont="1" applyFill="1" applyBorder="1"/>
    <xf numFmtId="165" fontId="7" fillId="28" borderId="11" xfId="28" applyNumberFormat="1" applyFill="1" applyBorder="1"/>
    <xf numFmtId="1" fontId="7" fillId="0" borderId="16" xfId="0" applyNumberFormat="1" applyFont="1" applyBorder="1"/>
    <xf numFmtId="9" fontId="0" fillId="0" borderId="0" xfId="0" applyNumberFormat="1"/>
    <xf numFmtId="0" fontId="10" fillId="29" borderId="0" xfId="0" applyFont="1" applyFill="1" applyAlignment="1">
      <alignment horizontal="right" wrapText="1"/>
    </xf>
    <xf numFmtId="9" fontId="70" fillId="29" borderId="0" xfId="44" applyFont="1" applyFill="1" applyBorder="1"/>
    <xf numFmtId="44" fontId="1" fillId="0" borderId="0" xfId="60" applyNumberFormat="1"/>
    <xf numFmtId="9" fontId="0" fillId="27" borderId="11" xfId="44" applyFont="1" applyFill="1" applyBorder="1" applyProtection="1">
      <protection locked="0"/>
    </xf>
    <xf numFmtId="2" fontId="7" fillId="0" borderId="16" xfId="0" applyNumberFormat="1" applyFont="1" applyBorder="1" applyAlignment="1">
      <alignment horizontal="right"/>
    </xf>
    <xf numFmtId="0" fontId="7" fillId="0" borderId="0" xfId="63" applyAlignment="1">
      <alignment horizontal="left"/>
    </xf>
    <xf numFmtId="9" fontId="7" fillId="32" borderId="11" xfId="0" applyNumberFormat="1" applyFont="1" applyFill="1" applyBorder="1" applyAlignment="1" applyProtection="1">
      <alignment vertical="center" wrapText="1"/>
      <protection locked="0"/>
    </xf>
    <xf numFmtId="167" fontId="7" fillId="0" borderId="0" xfId="0" applyNumberFormat="1" applyFont="1" applyAlignment="1">
      <alignment wrapText="1"/>
    </xf>
    <xf numFmtId="44" fontId="7" fillId="0" borderId="0" xfId="28"/>
    <xf numFmtId="44" fontId="7" fillId="0" borderId="51" xfId="28" applyBorder="1"/>
    <xf numFmtId="44" fontId="7" fillId="0" borderId="51" xfId="28" applyBorder="1" applyAlignment="1">
      <alignment horizontal="right"/>
    </xf>
    <xf numFmtId="44" fontId="7" fillId="0" borderId="52" xfId="28" applyBorder="1"/>
    <xf numFmtId="44" fontId="7" fillId="0" borderId="12" xfId="63" applyNumberFormat="1" applyBorder="1"/>
    <xf numFmtId="6" fontId="9" fillId="0" borderId="0" xfId="63" applyNumberFormat="1" applyFont="1"/>
    <xf numFmtId="0" fontId="0" fillId="33" borderId="0" xfId="0" applyFill="1"/>
    <xf numFmtId="165" fontId="0" fillId="33" borderId="0" xfId="0" applyNumberFormat="1" applyFill="1" applyAlignment="1">
      <alignment horizontal="center" vertical="center"/>
    </xf>
    <xf numFmtId="1" fontId="9" fillId="0" borderId="11" xfId="28" applyNumberFormat="1" applyFont="1" applyFill="1" applyBorder="1"/>
    <xf numFmtId="0" fontId="39" fillId="39" borderId="0" xfId="0" applyFont="1" applyFill="1"/>
    <xf numFmtId="165" fontId="39" fillId="39" borderId="0" xfId="0" applyNumberFormat="1" applyFont="1" applyFill="1" applyAlignment="1">
      <alignment horizontal="center" vertical="center"/>
    </xf>
    <xf numFmtId="0" fontId="39" fillId="40" borderId="0" xfId="0" applyFont="1" applyFill="1"/>
    <xf numFmtId="165" fontId="39" fillId="40" borderId="0" xfId="0" applyNumberFormat="1" applyFont="1" applyFill="1" applyAlignment="1">
      <alignment horizontal="center" vertical="center"/>
    </xf>
    <xf numFmtId="0" fontId="48" fillId="40" borderId="22" xfId="0" applyFont="1" applyFill="1" applyBorder="1"/>
    <xf numFmtId="0" fontId="48" fillId="40" borderId="24" xfId="0" applyFont="1" applyFill="1" applyBorder="1"/>
    <xf numFmtId="0" fontId="0" fillId="39" borderId="22" xfId="0" applyFill="1" applyBorder="1"/>
    <xf numFmtId="0" fontId="71" fillId="39" borderId="22" xfId="0" applyFont="1" applyFill="1" applyBorder="1"/>
    <xf numFmtId="0" fontId="0" fillId="39" borderId="24" xfId="0" applyFill="1" applyBorder="1"/>
    <xf numFmtId="0" fontId="72" fillId="0" borderId="0" xfId="0" applyFont="1"/>
    <xf numFmtId="44" fontId="7" fillId="0" borderId="0" xfId="28" applyFont="1" applyBorder="1"/>
    <xf numFmtId="167" fontId="7" fillId="0" borderId="0" xfId="28" applyNumberFormat="1" applyFont="1" applyBorder="1"/>
    <xf numFmtId="0" fontId="10" fillId="0" borderId="17" xfId="0" applyFont="1" applyBorder="1"/>
    <xf numFmtId="0" fontId="10" fillId="0" borderId="16" xfId="0" applyFont="1" applyBorder="1"/>
    <xf numFmtId="0" fontId="7" fillId="0" borderId="0" xfId="0" applyFont="1" applyAlignment="1" applyProtection="1">
      <alignment horizontal="center" vertical="center"/>
      <protection locked="0"/>
    </xf>
    <xf numFmtId="0" fontId="73" fillId="40" borderId="22" xfId="0" applyFont="1" applyFill="1" applyBorder="1"/>
    <xf numFmtId="44" fontId="7" fillId="29" borderId="0" xfId="0" applyNumberFormat="1" applyFont="1" applyFill="1" applyAlignment="1">
      <alignment horizontal="right" wrapText="1"/>
    </xf>
    <xf numFmtId="0" fontId="33" fillId="0" borderId="0" xfId="67" applyFont="1"/>
    <xf numFmtId="0" fontId="0" fillId="0" borderId="18" xfId="0" applyBorder="1" applyAlignment="1">
      <alignment vertical="center"/>
    </xf>
    <xf numFmtId="0" fontId="7" fillId="29" borderId="55" xfId="63" applyFill="1" applyBorder="1"/>
    <xf numFmtId="0" fontId="7" fillId="0" borderId="34" xfId="63" applyBorder="1"/>
    <xf numFmtId="0" fontId="7" fillId="29" borderId="34" xfId="63" applyFill="1" applyBorder="1"/>
    <xf numFmtId="14" fontId="48" fillId="29" borderId="34" xfId="63" applyNumberFormat="1" applyFont="1" applyFill="1" applyBorder="1" applyAlignment="1">
      <alignment horizontal="left"/>
    </xf>
    <xf numFmtId="0" fontId="48" fillId="29" borderId="34" xfId="63" applyFont="1" applyFill="1" applyBorder="1"/>
    <xf numFmtId="0" fontId="7" fillId="29" borderId="18" xfId="63" applyFill="1" applyBorder="1"/>
    <xf numFmtId="0" fontId="46" fillId="29" borderId="0" xfId="63" applyFont="1" applyFill="1"/>
    <xf numFmtId="0" fontId="7" fillId="29" borderId="0" xfId="63" applyFill="1"/>
    <xf numFmtId="0" fontId="39" fillId="29" borderId="0" xfId="63" applyFont="1" applyFill="1"/>
    <xf numFmtId="0" fontId="48" fillId="29" borderId="0" xfId="63" applyFont="1" applyFill="1"/>
    <xf numFmtId="0" fontId="48" fillId="29" borderId="23" xfId="63" applyFont="1" applyFill="1" applyBorder="1"/>
    <xf numFmtId="0" fontId="7" fillId="29" borderId="22" xfId="63" applyFill="1" applyBorder="1"/>
    <xf numFmtId="0" fontId="9" fillId="29" borderId="0" xfId="63" applyFont="1" applyFill="1"/>
    <xf numFmtId="0" fontId="7" fillId="27" borderId="22" xfId="63" applyFill="1" applyBorder="1"/>
    <xf numFmtId="0" fontId="40" fillId="29" borderId="0" xfId="63" applyFont="1" applyFill="1"/>
    <xf numFmtId="0" fontId="36" fillId="29" borderId="0" xfId="63" applyFont="1" applyFill="1"/>
    <xf numFmtId="9" fontId="48" fillId="29" borderId="22" xfId="44" applyFont="1" applyFill="1" applyBorder="1" applyAlignment="1">
      <alignment horizontal="center"/>
    </xf>
    <xf numFmtId="0" fontId="9" fillId="26" borderId="0" xfId="63" applyFont="1" applyFill="1"/>
    <xf numFmtId="0" fontId="7" fillId="27" borderId="11" xfId="63" applyFill="1" applyBorder="1" applyAlignment="1" applyProtection="1">
      <alignment horizontal="center" vertical="center"/>
      <protection locked="0"/>
    </xf>
    <xf numFmtId="0" fontId="49" fillId="29" borderId="0" xfId="63" applyFont="1" applyFill="1" applyAlignment="1">
      <alignment horizontal="right"/>
    </xf>
    <xf numFmtId="0" fontId="7" fillId="29" borderId="12" xfId="63" applyFill="1" applyBorder="1"/>
    <xf numFmtId="0" fontId="9" fillId="29" borderId="12" xfId="63" applyFont="1" applyFill="1" applyBorder="1"/>
    <xf numFmtId="0" fontId="74" fillId="29" borderId="0" xfId="63" applyFont="1" applyFill="1" applyAlignment="1">
      <alignment horizontal="left" vertical="top" wrapText="1"/>
    </xf>
    <xf numFmtId="0" fontId="7" fillId="27" borderId="42" xfId="63" applyFill="1" applyBorder="1" applyAlignment="1" applyProtection="1">
      <alignment horizontal="center" vertical="center"/>
      <protection locked="0"/>
    </xf>
    <xf numFmtId="0" fontId="7" fillId="0" borderId="0" xfId="63" applyAlignment="1">
      <alignment horizontal="left" vertical="center" wrapText="1"/>
    </xf>
    <xf numFmtId="0" fontId="7" fillId="27" borderId="37" xfId="63" applyFill="1" applyBorder="1" applyAlignment="1" applyProtection="1">
      <alignment horizontal="center" vertical="center"/>
      <protection locked="0"/>
    </xf>
    <xf numFmtId="0" fontId="7" fillId="27" borderId="41" xfId="63" applyFill="1" applyBorder="1" applyAlignment="1" applyProtection="1">
      <alignment horizontal="center" vertical="center"/>
      <protection locked="0"/>
    </xf>
    <xf numFmtId="0" fontId="9" fillId="0" borderId="12" xfId="63" applyFont="1" applyBorder="1" applyAlignment="1">
      <alignment horizontal="center" vertical="center"/>
    </xf>
    <xf numFmtId="0" fontId="9" fillId="0" borderId="12" xfId="63" applyFont="1" applyBorder="1" applyAlignment="1">
      <alignment horizontal="left" vertical="center" wrapText="1"/>
    </xf>
    <xf numFmtId="0" fontId="48" fillId="0" borderId="22" xfId="63" applyFont="1" applyBorder="1"/>
    <xf numFmtId="0" fontId="75" fillId="29" borderId="0" xfId="63" applyFont="1" applyFill="1" applyAlignment="1">
      <alignment horizontal="left" vertical="center"/>
    </xf>
    <xf numFmtId="0" fontId="38" fillId="34" borderId="26" xfId="63" applyFont="1" applyFill="1" applyBorder="1" applyAlignment="1">
      <alignment horizontal="left" vertical="top"/>
    </xf>
    <xf numFmtId="0" fontId="7" fillId="34" borderId="34" xfId="63" applyFill="1" applyBorder="1"/>
    <xf numFmtId="0" fontId="7" fillId="34" borderId="27" xfId="63" applyFill="1" applyBorder="1"/>
    <xf numFmtId="0" fontId="7" fillId="29" borderId="23" xfId="63" applyFill="1" applyBorder="1"/>
    <xf numFmtId="0" fontId="9" fillId="26" borderId="0" xfId="63" applyFont="1" applyFill="1" applyAlignment="1">
      <alignment horizontal="center" vertical="center"/>
    </xf>
    <xf numFmtId="0" fontId="7" fillId="26" borderId="0" xfId="63" applyFill="1"/>
    <xf numFmtId="0" fontId="7" fillId="34" borderId="22" xfId="63" applyFill="1" applyBorder="1"/>
    <xf numFmtId="0" fontId="9" fillId="34" borderId="23" xfId="63" applyFont="1" applyFill="1" applyBorder="1"/>
    <xf numFmtId="0" fontId="40" fillId="29" borderId="0" xfId="63" applyFont="1" applyFill="1" applyAlignment="1">
      <alignment horizontal="right"/>
    </xf>
    <xf numFmtId="0" fontId="36" fillId="34" borderId="22" xfId="63" applyFont="1" applyFill="1" applyBorder="1"/>
    <xf numFmtId="167" fontId="7" fillId="34" borderId="13" xfId="28" applyNumberFormat="1" applyFont="1" applyFill="1" applyBorder="1" applyAlignment="1">
      <alignment horizontal="right"/>
    </xf>
    <xf numFmtId="9" fontId="39" fillId="29" borderId="0" xfId="44" applyFont="1" applyFill="1" applyAlignment="1">
      <alignment wrapText="1"/>
    </xf>
    <xf numFmtId="0" fontId="9" fillId="26" borderId="0" xfId="63" applyFont="1" applyFill="1" applyAlignment="1">
      <alignment horizontal="left" vertical="center"/>
    </xf>
    <xf numFmtId="0" fontId="10" fillId="29" borderId="18" xfId="63" applyFont="1" applyFill="1" applyBorder="1"/>
    <xf numFmtId="0" fontId="10" fillId="29" borderId="0" xfId="63" applyFont="1" applyFill="1"/>
    <xf numFmtId="9" fontId="7" fillId="27" borderId="11" xfId="63" applyNumberFormat="1" applyFill="1" applyBorder="1" applyAlignment="1" applyProtection="1">
      <alignment horizontal="center" vertical="center"/>
      <protection locked="0"/>
    </xf>
    <xf numFmtId="167" fontId="39" fillId="29" borderId="23" xfId="28" applyNumberFormat="1" applyFont="1" applyFill="1" applyBorder="1" applyAlignment="1">
      <alignment horizontal="left"/>
    </xf>
    <xf numFmtId="0" fontId="10" fillId="29" borderId="18" xfId="63" applyFont="1" applyFill="1" applyBorder="1" applyAlignment="1">
      <alignment horizontal="left"/>
    </xf>
    <xf numFmtId="0" fontId="10" fillId="29" borderId="0" xfId="63" applyFont="1" applyFill="1" applyAlignment="1">
      <alignment horizontal="left"/>
    </xf>
    <xf numFmtId="0" fontId="9" fillId="26" borderId="0" xfId="63" applyFont="1" applyFill="1" applyAlignment="1">
      <alignment horizontal="left"/>
    </xf>
    <xf numFmtId="0" fontId="36" fillId="0" borderId="0" xfId="63" applyFont="1"/>
    <xf numFmtId="0" fontId="7" fillId="27" borderId="11" xfId="63" applyFill="1" applyBorder="1" applyProtection="1">
      <protection locked="0"/>
    </xf>
    <xf numFmtId="0" fontId="9" fillId="29" borderId="0" xfId="63" applyFont="1" applyFill="1" applyAlignment="1">
      <alignment horizontal="left"/>
    </xf>
    <xf numFmtId="0" fontId="10" fillId="0" borderId="0" xfId="63" applyFont="1"/>
    <xf numFmtId="0" fontId="9" fillId="0" borderId="0" xfId="63" applyFont="1" applyAlignment="1">
      <alignment horizontal="left"/>
    </xf>
    <xf numFmtId="9" fontId="7" fillId="27" borderId="11" xfId="63" applyNumberFormat="1" applyFill="1" applyBorder="1" applyAlignment="1" applyProtection="1">
      <alignment horizontal="right"/>
      <protection locked="0"/>
    </xf>
    <xf numFmtId="0" fontId="34" fillId="29" borderId="0" xfId="63" applyFont="1" applyFill="1"/>
    <xf numFmtId="9" fontId="7" fillId="29" borderId="0" xfId="63" applyNumberFormat="1" applyFill="1" applyAlignment="1">
      <alignment horizontal="right"/>
    </xf>
    <xf numFmtId="0" fontId="34" fillId="26" borderId="0" xfId="63" applyFont="1" applyFill="1"/>
    <xf numFmtId="0" fontId="7" fillId="0" borderId="40" xfId="63" applyBorder="1" applyAlignment="1">
      <alignment horizontal="left"/>
    </xf>
    <xf numFmtId="1" fontId="0" fillId="0" borderId="11" xfId="28" applyNumberFormat="1" applyFont="1" applyBorder="1"/>
    <xf numFmtId="0" fontId="7" fillId="27" borderId="40" xfId="63" applyFill="1" applyBorder="1" applyProtection="1">
      <protection locked="0"/>
    </xf>
    <xf numFmtId="0" fontId="9" fillId="0" borderId="11" xfId="63" applyFont="1" applyBorder="1" applyAlignment="1">
      <alignment horizontal="left"/>
    </xf>
    <xf numFmtId="0" fontId="9" fillId="0" borderId="11" xfId="63" applyFont="1" applyBorder="1"/>
    <xf numFmtId="0" fontId="7" fillId="29" borderId="15" xfId="63" applyFill="1" applyBorder="1" applyAlignment="1">
      <alignment horizontal="right"/>
    </xf>
    <xf numFmtId="0" fontId="7" fillId="29" borderId="0" xfId="63" applyFill="1" applyAlignment="1">
      <alignment horizontal="right"/>
    </xf>
    <xf numFmtId="9" fontId="0" fillId="29" borderId="0" xfId="44" applyFont="1" applyFill="1"/>
    <xf numFmtId="44" fontId="7" fillId="27" borderId="11" xfId="63" applyNumberFormat="1" applyFill="1" applyBorder="1" applyAlignment="1" applyProtection="1">
      <alignment horizontal="right" wrapText="1"/>
      <protection locked="0"/>
    </xf>
    <xf numFmtId="9" fontId="7" fillId="0" borderId="0" xfId="63" applyNumberFormat="1"/>
    <xf numFmtId="0" fontId="47" fillId="35" borderId="26" xfId="63" applyFont="1" applyFill="1" applyBorder="1"/>
    <xf numFmtId="0" fontId="37" fillId="35" borderId="27" xfId="63" applyFont="1" applyFill="1" applyBorder="1"/>
    <xf numFmtId="0" fontId="7" fillId="33" borderId="34" xfId="63" applyFill="1" applyBorder="1"/>
    <xf numFmtId="0" fontId="9" fillId="33" borderId="34" xfId="63" applyFont="1" applyFill="1" applyBorder="1" applyAlignment="1">
      <alignment horizontal="center" vertical="center"/>
    </xf>
    <xf numFmtId="0" fontId="9" fillId="33" borderId="27" xfId="63" applyFont="1" applyFill="1" applyBorder="1" applyAlignment="1">
      <alignment horizontal="center" vertical="center"/>
    </xf>
    <xf numFmtId="0" fontId="37" fillId="35" borderId="22" xfId="63" applyFont="1" applyFill="1" applyBorder="1"/>
    <xf numFmtId="0" fontId="37" fillId="35" borderId="23" xfId="63" applyFont="1" applyFill="1" applyBorder="1"/>
    <xf numFmtId="0" fontId="7" fillId="33" borderId="22" xfId="63" applyFill="1" applyBorder="1"/>
    <xf numFmtId="6" fontId="7" fillId="33" borderId="23" xfId="63" applyNumberFormat="1" applyFill="1" applyBorder="1" applyAlignment="1">
      <alignment horizontal="center" vertical="center"/>
    </xf>
    <xf numFmtId="0" fontId="37" fillId="35" borderId="49" xfId="63" applyFont="1" applyFill="1" applyBorder="1"/>
    <xf numFmtId="43" fontId="37" fillId="35" borderId="38" xfId="63" applyNumberFormat="1" applyFont="1" applyFill="1" applyBorder="1" applyAlignment="1">
      <alignment horizontal="center"/>
    </xf>
    <xf numFmtId="0" fontId="51" fillId="35" borderId="22" xfId="63" applyFont="1" applyFill="1" applyBorder="1"/>
    <xf numFmtId="0" fontId="58" fillId="35" borderId="22" xfId="63" applyFont="1" applyFill="1" applyBorder="1"/>
    <xf numFmtId="0" fontId="68" fillId="39" borderId="26" xfId="63" applyFont="1" applyFill="1" applyBorder="1" applyAlignment="1">
      <alignment horizontal="left"/>
    </xf>
    <xf numFmtId="0" fontId="39" fillId="39" borderId="34" xfId="63" applyFont="1" applyFill="1" applyBorder="1"/>
    <xf numFmtId="0" fontId="53" fillId="39" borderId="34" xfId="63" applyFont="1" applyFill="1" applyBorder="1" applyAlignment="1">
      <alignment horizontal="center" vertical="center"/>
    </xf>
    <xf numFmtId="0" fontId="44" fillId="39" borderId="22" xfId="63" applyFont="1" applyFill="1" applyBorder="1"/>
    <xf numFmtId="0" fontId="39" fillId="39" borderId="0" xfId="63" applyFont="1" applyFill="1"/>
    <xf numFmtId="165" fontId="39" fillId="39" borderId="0" xfId="28" applyNumberFormat="1" applyFont="1" applyFill="1" applyBorder="1" applyAlignment="1">
      <alignment horizontal="center" vertical="center"/>
    </xf>
    <xf numFmtId="0" fontId="39" fillId="39" borderId="22" xfId="63" applyFont="1" applyFill="1" applyBorder="1"/>
    <xf numFmtId="164" fontId="48" fillId="0" borderId="0" xfId="63" applyNumberFormat="1" applyFont="1"/>
    <xf numFmtId="0" fontId="39" fillId="39" borderId="24" xfId="63" applyFont="1" applyFill="1" applyBorder="1"/>
    <xf numFmtId="0" fontId="39" fillId="39" borderId="35" xfId="63" applyFont="1" applyFill="1" applyBorder="1"/>
    <xf numFmtId="165" fontId="39" fillId="39" borderId="35" xfId="28" applyNumberFormat="1" applyFont="1" applyFill="1" applyBorder="1" applyAlignment="1">
      <alignment horizontal="center" vertical="center"/>
    </xf>
    <xf numFmtId="0" fontId="51" fillId="35" borderId="49" xfId="63" applyFont="1" applyFill="1" applyBorder="1"/>
    <xf numFmtId="0" fontId="53" fillId="40" borderId="34" xfId="63" applyFont="1" applyFill="1" applyBorder="1" applyAlignment="1">
      <alignment horizontal="center" vertical="center"/>
    </xf>
    <xf numFmtId="0" fontId="39" fillId="40" borderId="0" xfId="63" applyFont="1" applyFill="1"/>
    <xf numFmtId="165" fontId="39" fillId="40" borderId="0" xfId="28" applyNumberFormat="1" applyFont="1" applyFill="1" applyBorder="1" applyAlignment="1">
      <alignment horizontal="center" vertical="center"/>
    </xf>
    <xf numFmtId="0" fontId="39" fillId="40" borderId="22" xfId="63" applyFont="1" applyFill="1" applyBorder="1"/>
    <xf numFmtId="165" fontId="39" fillId="40" borderId="35" xfId="28" applyNumberFormat="1" applyFont="1" applyFill="1" applyBorder="1" applyAlignment="1">
      <alignment horizontal="center" vertical="center"/>
    </xf>
    <xf numFmtId="167" fontId="37" fillId="35" borderId="38" xfId="63" applyNumberFormat="1" applyFont="1" applyFill="1" applyBorder="1"/>
    <xf numFmtId="167" fontId="37" fillId="35" borderId="23" xfId="63" applyNumberFormat="1" applyFont="1" applyFill="1" applyBorder="1"/>
    <xf numFmtId="6" fontId="37" fillId="35" borderId="23" xfId="63" applyNumberFormat="1" applyFont="1" applyFill="1" applyBorder="1"/>
    <xf numFmtId="0" fontId="37" fillId="35" borderId="24" xfId="63" applyFont="1" applyFill="1" applyBorder="1"/>
    <xf numFmtId="0" fontId="7" fillId="29" borderId="35" xfId="63" applyFill="1" applyBorder="1"/>
    <xf numFmtId="0" fontId="7" fillId="0" borderId="0" xfId="63" applyAlignment="1">
      <alignment horizontal="left" vertical="top"/>
    </xf>
    <xf numFmtId="0" fontId="7" fillId="24" borderId="0" xfId="63" applyFill="1"/>
    <xf numFmtId="0" fontId="7" fillId="28" borderId="0" xfId="63" applyFill="1"/>
    <xf numFmtId="0" fontId="9" fillId="25" borderId="0" xfId="63" applyFont="1" applyFill="1"/>
    <xf numFmtId="0" fontId="7" fillId="25" borderId="0" xfId="63" applyFill="1"/>
    <xf numFmtId="0" fontId="50" fillId="0" borderId="0" xfId="63" applyFont="1"/>
    <xf numFmtId="0" fontId="9" fillId="0" borderId="0" xfId="63" applyFont="1" applyAlignment="1">
      <alignment wrapText="1"/>
    </xf>
    <xf numFmtId="0" fontId="55" fillId="0" borderId="20" xfId="63" applyFont="1" applyBorder="1"/>
    <xf numFmtId="0" fontId="55" fillId="0" borderId="21" xfId="63" applyFont="1" applyBorder="1"/>
    <xf numFmtId="0" fontId="55" fillId="0" borderId="0" xfId="63" applyFont="1"/>
    <xf numFmtId="8" fontId="55" fillId="0" borderId="0" xfId="63" applyNumberFormat="1" applyFont="1"/>
    <xf numFmtId="0" fontId="39" fillId="0" borderId="0" xfId="63" applyFont="1" applyAlignment="1">
      <alignment wrapText="1"/>
    </xf>
    <xf numFmtId="6" fontId="7" fillId="28" borderId="0" xfId="63" applyNumberFormat="1" applyFill="1"/>
    <xf numFmtId="44" fontId="7" fillId="0" borderId="0" xfId="28" applyFont="1" applyFill="1"/>
    <xf numFmtId="164" fontId="7" fillId="0" borderId="0" xfId="63" applyNumberFormat="1" applyProtection="1">
      <protection locked="0"/>
    </xf>
    <xf numFmtId="164" fontId="55" fillId="0" borderId="18" xfId="63" applyNumberFormat="1" applyFont="1" applyBorder="1"/>
    <xf numFmtId="164" fontId="55" fillId="0" borderId="13" xfId="63" applyNumberFormat="1" applyFont="1" applyBorder="1"/>
    <xf numFmtId="6" fontId="39" fillId="0" borderId="0" xfId="28" applyNumberFormat="1" applyFont="1" applyFill="1" applyAlignment="1">
      <alignment horizontal="right" vertical="center"/>
    </xf>
    <xf numFmtId="6" fontId="39" fillId="0" borderId="0" xfId="63" applyNumberFormat="1" applyFont="1"/>
    <xf numFmtId="0" fontId="76" fillId="0" borderId="0" xfId="63" applyFont="1"/>
    <xf numFmtId="164" fontId="55" fillId="0" borderId="0" xfId="63" applyNumberFormat="1" applyFont="1"/>
    <xf numFmtId="164" fontId="77" fillId="0" borderId="0" xfId="63" applyNumberFormat="1" applyFont="1"/>
    <xf numFmtId="164" fontId="55" fillId="0" borderId="16" xfId="63" applyNumberFormat="1" applyFont="1" applyBorder="1"/>
    <xf numFmtId="164" fontId="7" fillId="0" borderId="0" xfId="63" applyNumberFormat="1"/>
    <xf numFmtId="164" fontId="55" fillId="0" borderId="39" xfId="63" applyNumberFormat="1" applyFont="1" applyBorder="1"/>
    <xf numFmtId="167" fontId="39" fillId="0" borderId="0" xfId="28" applyNumberFormat="1" applyFont="1" applyAlignment="1">
      <alignment horizontal="right" vertical="center"/>
    </xf>
    <xf numFmtId="0" fontId="9" fillId="0" borderId="12" xfId="63" applyFont="1" applyBorder="1"/>
    <xf numFmtId="167" fontId="9" fillId="0" borderId="12" xfId="28" applyNumberFormat="1" applyFont="1" applyFill="1" applyBorder="1"/>
    <xf numFmtId="8" fontId="39" fillId="0" borderId="0" xfId="63" applyNumberFormat="1" applyFont="1"/>
    <xf numFmtId="167" fontId="44" fillId="0" borderId="0" xfId="44" applyNumberFormat="1" applyFont="1" applyFill="1"/>
    <xf numFmtId="9" fontId="7" fillId="27" borderId="0" xfId="63" applyNumberFormat="1" applyFill="1"/>
    <xf numFmtId="44" fontId="39" fillId="0" borderId="0" xfId="63" applyNumberFormat="1" applyFont="1" applyAlignment="1">
      <alignment wrapText="1"/>
    </xf>
    <xf numFmtId="9" fontId="39" fillId="0" borderId="0" xfId="63" applyNumberFormat="1" applyFont="1"/>
    <xf numFmtId="0" fontId="78" fillId="0" borderId="0" xfId="63" applyFont="1" applyAlignment="1">
      <alignment wrapText="1"/>
    </xf>
    <xf numFmtId="0" fontId="79" fillId="0" borderId="0" xfId="63" applyFont="1"/>
    <xf numFmtId="1" fontId="7" fillId="0" borderId="0" xfId="63" applyNumberFormat="1"/>
    <xf numFmtId="0" fontId="80" fillId="0" borderId="35" xfId="63" applyFont="1" applyBorder="1" applyAlignment="1">
      <alignment wrapText="1"/>
    </xf>
    <xf numFmtId="0" fontId="9" fillId="0" borderId="35" xfId="63" applyFont="1" applyBorder="1"/>
    <xf numFmtId="0" fontId="7" fillId="0" borderId="35" xfId="63" applyBorder="1"/>
    <xf numFmtId="0" fontId="80" fillId="0" borderId="0" xfId="63" applyFont="1" applyAlignment="1">
      <alignment wrapText="1"/>
    </xf>
    <xf numFmtId="0" fontId="34" fillId="0" borderId="0" xfId="63" applyFont="1" applyAlignment="1">
      <alignment horizontal="center"/>
    </xf>
    <xf numFmtId="2" fontId="7" fillId="0" borderId="0" xfId="61" applyNumberFormat="1" applyFont="1" applyBorder="1"/>
    <xf numFmtId="0" fontId="7" fillId="0" borderId="0" xfId="63" applyAlignment="1">
      <alignment wrapText="1"/>
    </xf>
    <xf numFmtId="0" fontId="7" fillId="0" borderId="0" xfId="63" applyAlignment="1">
      <alignment horizontal="center"/>
    </xf>
    <xf numFmtId="44" fontId="7" fillId="0" borderId="0" xfId="66" applyFont="1" applyBorder="1"/>
    <xf numFmtId="2" fontId="7" fillId="0" borderId="0" xfId="61" applyNumberFormat="1" applyFont="1" applyFill="1" applyBorder="1"/>
    <xf numFmtId="0" fontId="81" fillId="0" borderId="0" xfId="60" applyFont="1"/>
    <xf numFmtId="2" fontId="39" fillId="0" borderId="0" xfId="61" applyNumberFormat="1" applyFont="1" applyFill="1" applyBorder="1"/>
    <xf numFmtId="43" fontId="7" fillId="0" borderId="12" xfId="61" applyFont="1" applyBorder="1"/>
    <xf numFmtId="0" fontId="7" fillId="0" borderId="12" xfId="63" applyBorder="1" applyAlignment="1">
      <alignment wrapText="1"/>
    </xf>
    <xf numFmtId="44" fontId="36" fillId="0" borderId="0" xfId="66" applyFont="1" applyBorder="1"/>
    <xf numFmtId="43" fontId="9" fillId="0" borderId="0" xfId="61" applyFont="1" applyFill="1" applyBorder="1"/>
    <xf numFmtId="170" fontId="7" fillId="0" borderId="0" xfId="61" applyNumberFormat="1" applyFont="1" applyFill="1" applyBorder="1"/>
    <xf numFmtId="170" fontId="7" fillId="0" borderId="12" xfId="63" applyNumberFormat="1" applyBorder="1"/>
    <xf numFmtId="0" fontId="7" fillId="0" borderId="0" xfId="63" applyAlignment="1">
      <alignment horizontal="right"/>
    </xf>
    <xf numFmtId="167" fontId="9" fillId="0" borderId="12" xfId="28" applyNumberFormat="1" applyFont="1" applyBorder="1"/>
    <xf numFmtId="166" fontId="7" fillId="0" borderId="0" xfId="63" applyNumberFormat="1" applyAlignment="1">
      <alignment horizontal="right"/>
    </xf>
    <xf numFmtId="0" fontId="7" fillId="0" borderId="0" xfId="63" applyAlignment="1">
      <alignment horizontal="left" wrapText="1"/>
    </xf>
    <xf numFmtId="0" fontId="7" fillId="0" borderId="0" xfId="63" applyAlignment="1">
      <alignment horizontal="right" wrapText="1"/>
    </xf>
    <xf numFmtId="167" fontId="9" fillId="0" borderId="36" xfId="28" applyNumberFormat="1" applyFont="1" applyBorder="1"/>
    <xf numFmtId="0" fontId="9" fillId="0" borderId="12" xfId="63" applyFont="1" applyBorder="1" applyAlignment="1">
      <alignment horizontal="right" wrapText="1"/>
    </xf>
    <xf numFmtId="9" fontId="7" fillId="0" borderId="12" xfId="63" applyNumberFormat="1" applyBorder="1"/>
    <xf numFmtId="0" fontId="38" fillId="0" borderId="0" xfId="63" applyFont="1"/>
    <xf numFmtId="10" fontId="7" fillId="0" borderId="0" xfId="63" applyNumberFormat="1"/>
    <xf numFmtId="43" fontId="7" fillId="0" borderId="0" xfId="63" applyNumberFormat="1"/>
    <xf numFmtId="10" fontId="7" fillId="27" borderId="0" xfId="63" applyNumberFormat="1" applyFill="1"/>
    <xf numFmtId="164" fontId="7" fillId="0" borderId="0" xfId="63" applyNumberFormat="1" applyAlignment="1">
      <alignment horizontal="right"/>
    </xf>
    <xf numFmtId="0" fontId="9" fillId="0" borderId="0" xfId="63" applyFont="1" applyAlignment="1">
      <alignment horizontal="right" wrapText="1"/>
    </xf>
    <xf numFmtId="10" fontId="9" fillId="0" borderId="12" xfId="63" applyNumberFormat="1" applyFont="1" applyBorder="1"/>
    <xf numFmtId="165" fontId="9" fillId="0" borderId="12" xfId="63" applyNumberFormat="1" applyFont="1" applyBorder="1"/>
    <xf numFmtId="2" fontId="7" fillId="0" borderId="0" xfId="63" applyNumberFormat="1"/>
    <xf numFmtId="44" fontId="7" fillId="0" borderId="0" xfId="28" applyFill="1" applyAlignment="1">
      <alignment horizontal="left"/>
    </xf>
    <xf numFmtId="9" fontId="7" fillId="0" borderId="0" xfId="44"/>
    <xf numFmtId="5" fontId="7" fillId="0" borderId="0" xfId="63" applyNumberFormat="1"/>
    <xf numFmtId="2" fontId="9" fillId="0" borderId="0" xfId="63" applyNumberFormat="1" applyFont="1"/>
    <xf numFmtId="0" fontId="7" fillId="0" borderId="0" xfId="63" applyAlignment="1">
      <alignment horizontal="left" vertical="top" wrapText="1"/>
    </xf>
    <xf numFmtId="6" fontId="9" fillId="0" borderId="12" xfId="63" applyNumberFormat="1" applyFont="1" applyBorder="1"/>
    <xf numFmtId="0" fontId="82" fillId="0" borderId="35" xfId="63" applyFont="1" applyBorder="1" applyAlignment="1">
      <alignment wrapText="1"/>
    </xf>
    <xf numFmtId="0" fontId="53" fillId="0" borderId="35" xfId="63" applyFont="1" applyBorder="1"/>
    <xf numFmtId="165" fontId="7" fillId="0" borderId="35" xfId="63" applyNumberFormat="1" applyBorder="1"/>
    <xf numFmtId="165" fontId="9" fillId="0" borderId="12" xfId="63" applyNumberFormat="1" applyFont="1" applyBorder="1" applyAlignment="1">
      <alignment horizontal="right"/>
    </xf>
    <xf numFmtId="0" fontId="8" fillId="0" borderId="0" xfId="63" applyFont="1"/>
    <xf numFmtId="9" fontId="7" fillId="24" borderId="0" xfId="63" applyNumberFormat="1" applyFill="1"/>
    <xf numFmtId="0" fontId="7" fillId="0" borderId="0" xfId="63" applyAlignment="1">
      <alignment horizontal="right" vertical="top" wrapText="1"/>
    </xf>
    <xf numFmtId="0" fontId="83" fillId="0" borderId="0" xfId="63" applyFont="1" applyAlignment="1">
      <alignment vertical="top"/>
    </xf>
    <xf numFmtId="0" fontId="48" fillId="0" borderId="0" xfId="63" applyFont="1" applyAlignment="1" applyProtection="1">
      <alignment vertical="top" wrapText="1"/>
      <protection hidden="1"/>
    </xf>
    <xf numFmtId="6" fontId="53" fillId="0" borderId="0" xfId="63" applyNumberFormat="1" applyFont="1"/>
    <xf numFmtId="1" fontId="33" fillId="0" borderId="0" xfId="63" applyNumberFormat="1" applyFont="1"/>
    <xf numFmtId="0" fontId="53" fillId="0" borderId="0" xfId="63" applyFont="1"/>
    <xf numFmtId="165" fontId="39" fillId="0" borderId="0" xfId="63" applyNumberFormat="1" applyFont="1"/>
    <xf numFmtId="43" fontId="7" fillId="0" borderId="0" xfId="61" applyFont="1"/>
    <xf numFmtId="1" fontId="7" fillId="0" borderId="16" xfId="63" applyNumberFormat="1" applyBorder="1"/>
    <xf numFmtId="0" fontId="7" fillId="0" borderId="16" xfId="63" applyBorder="1"/>
    <xf numFmtId="8" fontId="7" fillId="0" borderId="16" xfId="63" applyNumberFormat="1" applyBorder="1"/>
    <xf numFmtId="43" fontId="7" fillId="0" borderId="16" xfId="61" applyFont="1" applyBorder="1"/>
    <xf numFmtId="43" fontId="7" fillId="0" borderId="0" xfId="61" applyFont="1" applyBorder="1"/>
    <xf numFmtId="43" fontId="7" fillId="0" borderId="0" xfId="57" applyFont="1" applyBorder="1"/>
    <xf numFmtId="165" fontId="9" fillId="0" borderId="36" xfId="63" applyNumberFormat="1" applyFont="1" applyBorder="1"/>
    <xf numFmtId="0" fontId="7" fillId="0" borderId="0" xfId="63" quotePrefix="1"/>
    <xf numFmtId="0" fontId="38" fillId="30" borderId="26" xfId="63" applyFont="1" applyFill="1" applyBorder="1"/>
    <xf numFmtId="0" fontId="7" fillId="30" borderId="27" xfId="63" applyFill="1" applyBorder="1"/>
    <xf numFmtId="0" fontId="7" fillId="30" borderId="22" xfId="63" applyFill="1" applyBorder="1"/>
    <xf numFmtId="0" fontId="44" fillId="0" borderId="0" xfId="63" applyFont="1"/>
    <xf numFmtId="9" fontId="39" fillId="28" borderId="0" xfId="63" applyNumberFormat="1" applyFont="1" applyFill="1"/>
    <xf numFmtId="0" fontId="39" fillId="0" borderId="0" xfId="63" quotePrefix="1" applyFont="1"/>
    <xf numFmtId="0" fontId="39" fillId="34" borderId="0" xfId="63" applyFont="1" applyFill="1"/>
    <xf numFmtId="168" fontId="53" fillId="34" borderId="0" xfId="63" applyNumberFormat="1" applyFont="1" applyFill="1"/>
    <xf numFmtId="169" fontId="39" fillId="34" borderId="0" xfId="63" applyNumberFormat="1" applyFont="1" applyFill="1"/>
    <xf numFmtId="0" fontId="84" fillId="0" borderId="0" xfId="0" applyFont="1" applyAlignment="1">
      <alignment wrapText="1"/>
    </xf>
    <xf numFmtId="2" fontId="0" fillId="0" borderId="0" xfId="0" applyNumberFormat="1"/>
    <xf numFmtId="165" fontId="7" fillId="0" borderId="12" xfId="0" applyNumberFormat="1" applyFont="1" applyBorder="1" applyAlignment="1">
      <alignment horizontal="right"/>
    </xf>
    <xf numFmtId="165" fontId="7" fillId="0" borderId="20" xfId="0" applyNumberFormat="1" applyFont="1" applyBorder="1"/>
    <xf numFmtId="165" fontId="7" fillId="0" borderId="18" xfId="0" applyNumberFormat="1" applyFont="1" applyBorder="1"/>
    <xf numFmtId="165" fontId="7" fillId="0" borderId="10" xfId="0" applyNumberFormat="1" applyFont="1" applyBorder="1"/>
    <xf numFmtId="165" fontId="7" fillId="0" borderId="36" xfId="0" applyNumberFormat="1" applyFont="1" applyBorder="1"/>
    <xf numFmtId="165" fontId="7" fillId="28" borderId="56" xfId="0" applyNumberFormat="1" applyFont="1" applyFill="1" applyBorder="1"/>
    <xf numFmtId="165" fontId="0" fillId="28" borderId="0" xfId="0" applyNumberFormat="1" applyFill="1"/>
    <xf numFmtId="165" fontId="7" fillId="28" borderId="0" xfId="0" applyNumberFormat="1" applyFont="1" applyFill="1"/>
    <xf numFmtId="0" fontId="38" fillId="28" borderId="57" xfId="0" applyFont="1" applyFill="1" applyBorder="1"/>
    <xf numFmtId="0" fontId="7" fillId="41" borderId="0" xfId="67" applyFill="1"/>
    <xf numFmtId="0" fontId="7" fillId="43" borderId="0" xfId="67" applyFill="1"/>
    <xf numFmtId="165" fontId="7" fillId="0" borderId="17" xfId="63" applyNumberFormat="1" applyBorder="1"/>
    <xf numFmtId="8" fontId="39" fillId="0" borderId="16" xfId="61" applyNumberFormat="1" applyFont="1" applyBorder="1"/>
    <xf numFmtId="165" fontId="39" fillId="0" borderId="16" xfId="63" applyNumberFormat="1" applyFont="1" applyBorder="1"/>
    <xf numFmtId="165" fontId="7" fillId="0" borderId="13" xfId="63" applyNumberFormat="1" applyBorder="1"/>
    <xf numFmtId="0" fontId="10" fillId="0" borderId="12" xfId="0" applyFont="1" applyBorder="1"/>
    <xf numFmtId="44" fontId="7" fillId="0" borderId="19" xfId="28" applyFont="1" applyBorder="1"/>
    <xf numFmtId="0" fontId="7" fillId="38" borderId="0" xfId="63" applyFill="1"/>
    <xf numFmtId="0" fontId="52" fillId="40" borderId="0" xfId="63" applyFont="1" applyFill="1" applyAlignment="1">
      <alignment horizontal="left" vertical="top"/>
    </xf>
    <xf numFmtId="8" fontId="34" fillId="40" borderId="0" xfId="63" applyNumberFormat="1" applyFont="1" applyFill="1" applyAlignment="1">
      <alignment horizontal="left" vertical="top"/>
    </xf>
    <xf numFmtId="0" fontId="9" fillId="40" borderId="0" xfId="63" applyFont="1" applyFill="1" applyAlignment="1">
      <alignment horizontal="left" vertical="top"/>
    </xf>
    <xf numFmtId="0" fontId="52" fillId="33" borderId="0" xfId="63" applyFont="1" applyFill="1" applyAlignment="1">
      <alignment horizontal="left" vertical="top"/>
    </xf>
    <xf numFmtId="8" fontId="34" fillId="33" borderId="0" xfId="63" applyNumberFormat="1" applyFont="1" applyFill="1" applyAlignment="1">
      <alignment horizontal="left" vertical="top"/>
    </xf>
    <xf numFmtId="0" fontId="9" fillId="33" borderId="0" xfId="63" applyFont="1" applyFill="1" applyAlignment="1">
      <alignment horizontal="left" vertical="top"/>
    </xf>
    <xf numFmtId="0" fontId="9" fillId="44" borderId="0" xfId="63" applyFont="1" applyFill="1"/>
    <xf numFmtId="0" fontId="7" fillId="0" borderId="24" xfId="63" applyBorder="1"/>
    <xf numFmtId="44" fontId="7" fillId="0" borderId="25" xfId="63" applyNumberFormat="1" applyBorder="1"/>
    <xf numFmtId="0" fontId="7" fillId="30" borderId="10" xfId="63" applyFill="1" applyBorder="1"/>
    <xf numFmtId="44" fontId="7" fillId="30" borderId="39" xfId="28" applyFont="1" applyFill="1" applyBorder="1"/>
    <xf numFmtId="0" fontId="68" fillId="40" borderId="26" xfId="63" applyFont="1" applyFill="1" applyBorder="1" applyAlignment="1">
      <alignment horizontal="left" vertical="top"/>
    </xf>
    <xf numFmtId="0" fontId="68" fillId="40" borderId="34" xfId="63" applyFont="1" applyFill="1" applyBorder="1" applyAlignment="1">
      <alignment horizontal="left" vertical="top"/>
    </xf>
    <xf numFmtId="6" fontId="39" fillId="40" borderId="23" xfId="28" applyNumberFormat="1" applyFont="1" applyFill="1" applyBorder="1" applyAlignment="1">
      <alignment horizontal="center" vertical="center"/>
    </xf>
    <xf numFmtId="6" fontId="39" fillId="40" borderId="25" xfId="28" applyNumberFormat="1" applyFont="1" applyFill="1" applyBorder="1" applyAlignment="1">
      <alignment horizontal="center" vertical="center"/>
    </xf>
    <xf numFmtId="0" fontId="7" fillId="33" borderId="0" xfId="63" applyFill="1"/>
    <xf numFmtId="6" fontId="7" fillId="33" borderId="0" xfId="63" applyNumberFormat="1" applyFill="1" applyAlignment="1">
      <alignment horizontal="center" vertical="center"/>
    </xf>
    <xf numFmtId="0" fontId="7" fillId="33" borderId="24" xfId="63" applyFill="1" applyBorder="1"/>
    <xf numFmtId="0" fontId="7" fillId="33" borderId="35" xfId="63" applyFill="1" applyBorder="1"/>
    <xf numFmtId="6" fontId="7" fillId="33" borderId="35" xfId="63" applyNumberFormat="1" applyFill="1" applyBorder="1" applyAlignment="1">
      <alignment horizontal="center" vertical="center"/>
    </xf>
    <xf numFmtId="6" fontId="7" fillId="33" borderId="25" xfId="63" applyNumberFormat="1" applyFill="1" applyBorder="1" applyAlignment="1">
      <alignment horizontal="center" vertical="center"/>
    </xf>
    <xf numFmtId="8" fontId="39" fillId="39" borderId="23" xfId="28" applyNumberFormat="1" applyFont="1" applyFill="1" applyBorder="1" applyAlignment="1">
      <alignment horizontal="center" vertical="center"/>
    </xf>
    <xf numFmtId="8" fontId="39" fillId="39" borderId="25" xfId="28" applyNumberFormat="1" applyFont="1" applyFill="1" applyBorder="1" applyAlignment="1">
      <alignment horizontal="center" vertical="center"/>
    </xf>
    <xf numFmtId="0" fontId="71" fillId="39" borderId="22" xfId="63" applyFont="1" applyFill="1" applyBorder="1"/>
    <xf numFmtId="6" fontId="39" fillId="40" borderId="22" xfId="28" applyNumberFormat="1" applyFont="1" applyFill="1" applyBorder="1" applyAlignment="1">
      <alignment horizontal="center" vertical="center"/>
    </xf>
    <xf numFmtId="6" fontId="39" fillId="40" borderId="0" xfId="28" applyNumberFormat="1" applyFont="1" applyFill="1" applyBorder="1" applyAlignment="1">
      <alignment horizontal="left" vertical="center"/>
    </xf>
    <xf numFmtId="6" fontId="39" fillId="40" borderId="24" xfId="28" applyNumberFormat="1" applyFont="1" applyFill="1" applyBorder="1" applyAlignment="1">
      <alignment horizontal="center" vertical="center"/>
    </xf>
    <xf numFmtId="6" fontId="39" fillId="40" borderId="35" xfId="28" applyNumberFormat="1" applyFont="1" applyFill="1" applyBorder="1" applyAlignment="1">
      <alignment horizontal="left" vertical="center"/>
    </xf>
    <xf numFmtId="0" fontId="10" fillId="29" borderId="35" xfId="63" applyFont="1" applyFill="1" applyBorder="1"/>
    <xf numFmtId="44" fontId="7" fillId="29" borderId="35" xfId="63" applyNumberFormat="1" applyFill="1" applyBorder="1"/>
    <xf numFmtId="2" fontId="0" fillId="44" borderId="0" xfId="0" applyNumberFormat="1" applyFill="1"/>
    <xf numFmtId="6" fontId="30" fillId="44" borderId="0" xfId="0" applyNumberFormat="1" applyFont="1" applyFill="1"/>
    <xf numFmtId="165" fontId="7" fillId="44" borderId="12" xfId="0" applyNumberFormat="1" applyFont="1" applyFill="1" applyBorder="1"/>
    <xf numFmtId="165" fontId="7" fillId="44" borderId="0" xfId="0" applyNumberFormat="1" applyFont="1" applyFill="1"/>
    <xf numFmtId="0" fontId="0" fillId="44" borderId="0" xfId="0" applyFill="1"/>
    <xf numFmtId="0" fontId="7" fillId="44" borderId="21" xfId="28" applyNumberFormat="1" applyFont="1" applyFill="1" applyBorder="1"/>
    <xf numFmtId="0" fontId="7" fillId="44" borderId="13" xfId="28" applyNumberFormat="1" applyFont="1" applyFill="1" applyBorder="1"/>
    <xf numFmtId="0" fontId="7" fillId="44" borderId="17" xfId="28" applyNumberFormat="1" applyFont="1" applyFill="1" applyBorder="1"/>
    <xf numFmtId="9" fontId="7" fillId="44" borderId="13" xfId="44" applyFont="1" applyFill="1" applyBorder="1"/>
    <xf numFmtId="44" fontId="7" fillId="0" borderId="0" xfId="28" applyFont="1" applyFill="1" applyBorder="1"/>
    <xf numFmtId="0" fontId="7" fillId="30" borderId="58" xfId="0" applyFont="1" applyFill="1" applyBorder="1"/>
    <xf numFmtId="44" fontId="7" fillId="30" borderId="54" xfId="28" applyFont="1" applyFill="1" applyBorder="1"/>
    <xf numFmtId="0" fontId="7" fillId="45" borderId="58" xfId="0" applyFont="1" applyFill="1" applyBorder="1"/>
    <xf numFmtId="44" fontId="7" fillId="45" borderId="54" xfId="0" applyNumberFormat="1" applyFont="1" applyFill="1" applyBorder="1"/>
    <xf numFmtId="9" fontId="39" fillId="32" borderId="11" xfId="63" applyNumberFormat="1" applyFont="1" applyFill="1" applyBorder="1" applyAlignment="1" applyProtection="1">
      <alignment horizontal="center" vertical="center" wrapText="1"/>
      <protection locked="0"/>
    </xf>
    <xf numFmtId="165" fontId="36" fillId="0" borderId="11" xfId="28" applyNumberFormat="1" applyFont="1" applyFill="1" applyBorder="1"/>
    <xf numFmtId="165" fontId="36" fillId="0" borderId="11" xfId="63" applyNumberFormat="1" applyFont="1" applyBorder="1"/>
    <xf numFmtId="164" fontId="0" fillId="0" borderId="18" xfId="0" applyNumberFormat="1" applyBorder="1"/>
    <xf numFmtId="0" fontId="52" fillId="29" borderId="0" xfId="0" applyFont="1" applyFill="1"/>
    <xf numFmtId="6" fontId="52" fillId="29" borderId="0" xfId="0" applyNumberFormat="1" applyFont="1" applyFill="1"/>
    <xf numFmtId="8" fontId="52" fillId="29" borderId="0" xfId="0" applyNumberFormat="1" applyFont="1" applyFill="1"/>
    <xf numFmtId="0" fontId="0" fillId="29" borderId="11" xfId="0" applyFill="1" applyBorder="1"/>
    <xf numFmtId="0" fontId="39" fillId="29" borderId="44" xfId="0" applyFont="1" applyFill="1" applyBorder="1"/>
    <xf numFmtId="0" fontId="7" fillId="29" borderId="22" xfId="0" applyFont="1" applyFill="1" applyBorder="1" applyAlignment="1">
      <alignment wrapText="1"/>
    </xf>
    <xf numFmtId="0" fontId="7" fillId="29" borderId="0" xfId="0" applyFont="1" applyFill="1" applyAlignment="1">
      <alignment wrapText="1"/>
    </xf>
    <xf numFmtId="0" fontId="7" fillId="0" borderId="59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9" fillId="0" borderId="11" xfId="0" applyFont="1" applyBorder="1" applyAlignment="1">
      <alignment wrapText="1"/>
    </xf>
    <xf numFmtId="0" fontId="9" fillId="34" borderId="61" xfId="0" applyFont="1" applyFill="1" applyBorder="1" applyAlignment="1">
      <alignment wrapText="1"/>
    </xf>
    <xf numFmtId="167" fontId="39" fillId="27" borderId="44" xfId="28" applyNumberFormat="1" applyFont="1" applyFill="1" applyBorder="1" applyProtection="1">
      <protection locked="0"/>
    </xf>
    <xf numFmtId="167" fontId="0" fillId="27" borderId="44" xfId="28" applyNumberFormat="1" applyFont="1" applyFill="1" applyBorder="1" applyProtection="1">
      <protection locked="0"/>
    </xf>
    <xf numFmtId="167" fontId="0" fillId="27" borderId="45" xfId="28" applyNumberFormat="1" applyFont="1" applyFill="1" applyBorder="1" applyProtection="1">
      <protection locked="0"/>
    </xf>
    <xf numFmtId="0" fontId="7" fillId="0" borderId="13" xfId="0" applyFont="1" applyBorder="1"/>
    <xf numFmtId="0" fontId="39" fillId="0" borderId="17" xfId="0" applyFont="1" applyBorder="1"/>
    <xf numFmtId="167" fontId="0" fillId="29" borderId="0" xfId="0" applyNumberFormat="1" applyFill="1"/>
    <xf numFmtId="0" fontId="48" fillId="0" borderId="0" xfId="0" applyFont="1"/>
    <xf numFmtId="0" fontId="34" fillId="29" borderId="11" xfId="0" applyFont="1" applyFill="1" applyBorder="1"/>
    <xf numFmtId="0" fontId="0" fillId="40" borderId="22" xfId="0" applyFill="1" applyBorder="1"/>
    <xf numFmtId="0" fontId="7" fillId="40" borderId="0" xfId="0" applyFont="1" applyFill="1"/>
    <xf numFmtId="0" fontId="0" fillId="40" borderId="0" xfId="0" applyFill="1"/>
    <xf numFmtId="0" fontId="48" fillId="40" borderId="0" xfId="0" applyFont="1" applyFill="1"/>
    <xf numFmtId="0" fontId="0" fillId="40" borderId="23" xfId="0" applyFill="1" applyBorder="1"/>
    <xf numFmtId="0" fontId="9" fillId="40" borderId="0" xfId="0" applyFont="1" applyFill="1"/>
    <xf numFmtId="6" fontId="39" fillId="40" borderId="0" xfId="0" applyNumberFormat="1" applyFont="1" applyFill="1"/>
    <xf numFmtId="0" fontId="0" fillId="40" borderId="24" xfId="0" applyFill="1" applyBorder="1"/>
    <xf numFmtId="0" fontId="0" fillId="40" borderId="35" xfId="0" applyFill="1" applyBorder="1"/>
    <xf numFmtId="0" fontId="48" fillId="40" borderId="35" xfId="0" applyFont="1" applyFill="1" applyBorder="1"/>
    <xf numFmtId="0" fontId="0" fillId="40" borderId="25" xfId="0" applyFill="1" applyBorder="1"/>
    <xf numFmtId="0" fontId="40" fillId="38" borderId="62" xfId="0" applyFont="1" applyFill="1" applyBorder="1" applyAlignment="1">
      <alignment vertical="center"/>
    </xf>
    <xf numFmtId="0" fontId="40" fillId="38" borderId="63" xfId="0" applyFont="1" applyFill="1" applyBorder="1" applyAlignment="1">
      <alignment vertical="center"/>
    </xf>
    <xf numFmtId="0" fontId="40" fillId="38" borderId="64" xfId="0" applyFont="1" applyFill="1" applyBorder="1" applyAlignment="1">
      <alignment vertical="center"/>
    </xf>
    <xf numFmtId="0" fontId="53" fillId="40" borderId="0" xfId="0" applyFont="1" applyFill="1"/>
    <xf numFmtId="0" fontId="7" fillId="29" borderId="25" xfId="63" applyFill="1" applyBorder="1"/>
    <xf numFmtId="0" fontId="48" fillId="0" borderId="0" xfId="63" applyFont="1"/>
    <xf numFmtId="6" fontId="48" fillId="0" borderId="0" xfId="63" applyNumberFormat="1" applyFont="1"/>
    <xf numFmtId="8" fontId="48" fillId="0" borderId="0" xfId="63" applyNumberFormat="1" applyFont="1"/>
    <xf numFmtId="0" fontId="48" fillId="40" borderId="23" xfId="0" applyFont="1" applyFill="1" applyBorder="1"/>
    <xf numFmtId="0" fontId="48" fillId="40" borderId="25" xfId="0" applyFont="1" applyFill="1" applyBorder="1"/>
    <xf numFmtId="0" fontId="85" fillId="38" borderId="63" xfId="0" applyFont="1" applyFill="1" applyBorder="1" applyAlignment="1">
      <alignment vertical="center"/>
    </xf>
    <xf numFmtId="0" fontId="85" fillId="38" borderId="64" xfId="0" applyFont="1" applyFill="1" applyBorder="1" applyAlignment="1">
      <alignment vertical="center"/>
    </xf>
    <xf numFmtId="9" fontId="0" fillId="29" borderId="11" xfId="44" applyFont="1" applyFill="1" applyBorder="1"/>
    <xf numFmtId="0" fontId="9" fillId="34" borderId="0" xfId="63" applyFont="1" applyFill="1" applyAlignment="1">
      <alignment horizontal="right"/>
    </xf>
    <xf numFmtId="0" fontId="7" fillId="34" borderId="24" xfId="63" applyFill="1" applyBorder="1"/>
    <xf numFmtId="165" fontId="0" fillId="27" borderId="11" xfId="0" applyNumberFormat="1" applyFill="1" applyBorder="1" applyProtection="1">
      <protection locked="0"/>
    </xf>
    <xf numFmtId="167" fontId="0" fillId="27" borderId="11" xfId="28" applyNumberFormat="1" applyFont="1" applyFill="1" applyBorder="1" applyProtection="1">
      <protection locked="0"/>
    </xf>
    <xf numFmtId="44" fontId="0" fillId="27" borderId="11" xfId="28" applyFont="1" applyFill="1" applyBorder="1" applyProtection="1">
      <protection locked="0"/>
    </xf>
    <xf numFmtId="0" fontId="39" fillId="29" borderId="16" xfId="0" applyFont="1" applyFill="1" applyBorder="1"/>
    <xf numFmtId="0" fontId="39" fillId="32" borderId="11" xfId="0" applyFont="1" applyFill="1" applyBorder="1" applyProtection="1">
      <protection locked="0"/>
    </xf>
    <xf numFmtId="0" fontId="0" fillId="27" borderId="11" xfId="0" applyFill="1" applyBorder="1" applyAlignment="1" applyProtection="1">
      <alignment horizontal="center"/>
      <protection locked="0"/>
    </xf>
    <xf numFmtId="0" fontId="10" fillId="29" borderId="0" xfId="0" applyFont="1" applyFill="1" applyAlignment="1">
      <alignment horizontal="right" vertical="center" wrapText="1"/>
    </xf>
    <xf numFmtId="0" fontId="10" fillId="29" borderId="0" xfId="63" applyFont="1" applyFill="1" applyAlignment="1">
      <alignment horizontal="left" vertical="top"/>
    </xf>
    <xf numFmtId="0" fontId="50" fillId="29" borderId="0" xfId="63" applyFont="1" applyFill="1" applyAlignment="1">
      <alignment horizontal="right" vertical="top"/>
    </xf>
    <xf numFmtId="0" fontId="48" fillId="29" borderId="0" xfId="63" applyFont="1" applyFill="1" applyAlignment="1">
      <alignment horizontal="center" vertical="center"/>
    </xf>
    <xf numFmtId="0" fontId="10" fillId="29" borderId="0" xfId="63" applyFont="1" applyFill="1" applyAlignment="1">
      <alignment horizontal="right"/>
    </xf>
    <xf numFmtId="0" fontId="7" fillId="29" borderId="0" xfId="63" applyFill="1" applyAlignment="1">
      <alignment horizontal="center" vertical="center"/>
    </xf>
    <xf numFmtId="9" fontId="0" fillId="29" borderId="0" xfId="44" applyFont="1" applyFill="1" applyBorder="1" applyProtection="1"/>
    <xf numFmtId="0" fontId="9" fillId="29" borderId="11" xfId="0" applyFont="1" applyFill="1" applyBorder="1" applyProtection="1">
      <protection locked="0"/>
    </xf>
    <xf numFmtId="0" fontId="53" fillId="29" borderId="11" xfId="0" applyFont="1" applyFill="1" applyBorder="1" applyAlignment="1">
      <alignment horizontal="right"/>
    </xf>
    <xf numFmtId="0" fontId="86" fillId="40" borderId="0" xfId="0" applyFont="1" applyFill="1"/>
    <xf numFmtId="0" fontId="87" fillId="40" borderId="0" xfId="0" applyFont="1" applyFill="1"/>
    <xf numFmtId="167" fontId="86" fillId="40" borderId="0" xfId="0" applyNumberFormat="1" applyFont="1" applyFill="1"/>
    <xf numFmtId="0" fontId="52" fillId="46" borderId="62" xfId="0" applyFont="1" applyFill="1" applyBorder="1" applyAlignment="1">
      <alignment vertical="center"/>
    </xf>
    <xf numFmtId="0" fontId="52" fillId="46" borderId="63" xfId="0" applyFont="1" applyFill="1" applyBorder="1" applyAlignment="1">
      <alignment vertical="center"/>
    </xf>
    <xf numFmtId="9" fontId="52" fillId="46" borderId="63" xfId="44" applyFont="1" applyFill="1" applyBorder="1" applyAlignment="1">
      <alignment vertical="center"/>
    </xf>
    <xf numFmtId="0" fontId="52" fillId="46" borderId="64" xfId="0" applyFont="1" applyFill="1" applyBorder="1" applyAlignment="1">
      <alignment vertical="center"/>
    </xf>
    <xf numFmtId="0" fontId="82" fillId="38" borderId="63" xfId="0" applyFont="1" applyFill="1" applyBorder="1" applyAlignment="1">
      <alignment vertical="center"/>
    </xf>
    <xf numFmtId="0" fontId="88" fillId="46" borderId="63" xfId="0" applyFont="1" applyFill="1" applyBorder="1" applyAlignment="1">
      <alignment vertical="center"/>
    </xf>
    <xf numFmtId="0" fontId="7" fillId="29" borderId="24" xfId="63" applyFill="1" applyBorder="1"/>
    <xf numFmtId="0" fontId="7" fillId="29" borderId="35" xfId="63" applyFill="1" applyBorder="1" applyAlignment="1">
      <alignment horizontal="left"/>
    </xf>
    <xf numFmtId="9" fontId="7" fillId="0" borderId="35" xfId="63" applyNumberFormat="1" applyBorder="1"/>
    <xf numFmtId="0" fontId="48" fillId="29" borderId="35" xfId="0" applyFont="1" applyFill="1" applyBorder="1"/>
    <xf numFmtId="0" fontId="85" fillId="46" borderId="62" xfId="63" applyFont="1" applyFill="1" applyBorder="1"/>
    <xf numFmtId="0" fontId="85" fillId="46" borderId="63" xfId="63" applyFont="1" applyFill="1" applyBorder="1"/>
    <xf numFmtId="9" fontId="85" fillId="46" borderId="63" xfId="44" applyFont="1" applyFill="1" applyBorder="1"/>
    <xf numFmtId="0" fontId="85" fillId="46" borderId="64" xfId="63" applyFont="1" applyFill="1" applyBorder="1"/>
    <xf numFmtId="0" fontId="85" fillId="46" borderId="63" xfId="63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9" fillId="26" borderId="0" xfId="0" applyFont="1" applyFill="1" applyAlignment="1">
      <alignment horizontal="left" vertical="center" wrapText="1"/>
    </xf>
    <xf numFmtId="0" fontId="71" fillId="40" borderId="22" xfId="0" applyFont="1" applyFill="1" applyBorder="1" applyAlignment="1">
      <alignment wrapText="1"/>
    </xf>
    <xf numFmtId="0" fontId="53" fillId="29" borderId="0" xfId="63" applyFont="1" applyFill="1"/>
    <xf numFmtId="0" fontId="10" fillId="29" borderId="13" xfId="63" applyFont="1" applyFill="1" applyBorder="1" applyAlignment="1">
      <alignment horizontal="right"/>
    </xf>
    <xf numFmtId="167" fontId="10" fillId="29" borderId="0" xfId="28" applyNumberFormat="1" applyFont="1" applyFill="1" applyBorder="1" applyAlignment="1">
      <alignment wrapText="1"/>
    </xf>
    <xf numFmtId="0" fontId="9" fillId="0" borderId="39" xfId="0" applyFont="1" applyBorder="1" applyAlignment="1">
      <alignment horizontal="center" vertical="center" wrapText="1"/>
    </xf>
    <xf numFmtId="0" fontId="90" fillId="29" borderId="0" xfId="0" applyFont="1" applyFill="1" applyAlignment="1">
      <alignment horizontal="right" vertical="top" wrapText="1"/>
    </xf>
    <xf numFmtId="0" fontId="90" fillId="29" borderId="0" xfId="0" applyFont="1" applyFill="1" applyAlignment="1">
      <alignment horizontal="right"/>
    </xf>
    <xf numFmtId="9" fontId="91" fillId="29" borderId="0" xfId="44" applyFont="1" applyFill="1" applyBorder="1" applyAlignment="1"/>
    <xf numFmtId="0" fontId="90" fillId="29" borderId="0" xfId="0" applyFont="1" applyFill="1" applyAlignment="1">
      <alignment horizontal="left"/>
    </xf>
    <xf numFmtId="0" fontId="92" fillId="33" borderId="26" xfId="63" applyFont="1" applyFill="1" applyBorder="1" applyAlignment="1">
      <alignment horizontal="left" wrapText="1"/>
    </xf>
    <xf numFmtId="0" fontId="89" fillId="39" borderId="27" xfId="63" applyFont="1" applyFill="1" applyBorder="1" applyAlignment="1">
      <alignment horizontal="left" vertical="center"/>
    </xf>
    <xf numFmtId="0" fontId="89" fillId="40" borderId="27" xfId="63" applyFont="1" applyFill="1" applyBorder="1" applyAlignment="1">
      <alignment horizontal="left" vertical="center"/>
    </xf>
    <xf numFmtId="0" fontId="93" fillId="40" borderId="22" xfId="63" applyFont="1" applyFill="1" applyBorder="1"/>
    <xf numFmtId="44" fontId="0" fillId="0" borderId="0" xfId="28" applyFont="1"/>
    <xf numFmtId="0" fontId="0" fillId="0" borderId="0" xfId="63" applyFont="1" applyAlignment="1">
      <alignment horizontal="left" vertical="center" wrapText="1"/>
    </xf>
    <xf numFmtId="0" fontId="47" fillId="33" borderId="26" xfId="0" applyFont="1" applyFill="1" applyBorder="1" applyAlignment="1">
      <alignment horizontal="left"/>
    </xf>
    <xf numFmtId="0" fontId="9" fillId="34" borderId="61" xfId="0" applyFont="1" applyFill="1" applyBorder="1"/>
    <xf numFmtId="0" fontId="94" fillId="29" borderId="0" xfId="0" applyFont="1" applyFill="1"/>
    <xf numFmtId="0" fontId="94" fillId="0" borderId="0" xfId="63" applyFont="1"/>
    <xf numFmtId="9" fontId="39" fillId="29" borderId="18" xfId="44" applyFont="1" applyFill="1" applyBorder="1" applyAlignment="1">
      <alignment wrapText="1"/>
    </xf>
    <xf numFmtId="0" fontId="0" fillId="27" borderId="11" xfId="63" applyFont="1" applyFill="1" applyBorder="1" applyAlignment="1" applyProtection="1">
      <alignment horizontal="center" vertical="center"/>
      <protection locked="0"/>
    </xf>
    <xf numFmtId="0" fontId="0" fillId="27" borderId="11" xfId="44" applyNumberFormat="1" applyFont="1" applyFill="1" applyBorder="1" applyAlignment="1" applyProtection="1">
      <alignment horizontal="center" vertical="center" wrapText="1"/>
      <protection locked="0"/>
    </xf>
    <xf numFmtId="44" fontId="86" fillId="40" borderId="0" xfId="0" applyNumberFormat="1" applyFont="1" applyFill="1"/>
    <xf numFmtId="0" fontId="39" fillId="29" borderId="0" xfId="0" applyFont="1" applyFill="1" applyAlignment="1">
      <alignment horizontal="left"/>
    </xf>
    <xf numFmtId="20" fontId="39" fillId="29" borderId="0" xfId="0" quotePrefix="1" applyNumberFormat="1" applyFont="1" applyFill="1" applyAlignment="1">
      <alignment horizontal="right"/>
    </xf>
    <xf numFmtId="20" fontId="39" fillId="29" borderId="0" xfId="0" quotePrefix="1" applyNumberFormat="1" applyFont="1" applyFill="1" applyAlignment="1">
      <alignment horizontal="left"/>
    </xf>
    <xf numFmtId="9" fontId="39" fillId="29" borderId="0" xfId="44" applyFont="1" applyFill="1" applyBorder="1" applyAlignment="1">
      <alignment horizontal="left"/>
    </xf>
    <xf numFmtId="0" fontId="39" fillId="29" borderId="0" xfId="0" applyFont="1" applyFill="1" applyAlignment="1">
      <alignment horizontal="left" vertical="center"/>
    </xf>
    <xf numFmtId="0" fontId="48" fillId="29" borderId="22" xfId="63" applyFont="1" applyFill="1" applyBorder="1"/>
    <xf numFmtId="0" fontId="49" fillId="29" borderId="22" xfId="63" applyFont="1" applyFill="1" applyBorder="1" applyAlignment="1">
      <alignment horizontal="right"/>
    </xf>
    <xf numFmtId="0" fontId="49" fillId="29" borderId="0" xfId="63" applyFont="1" applyFill="1" applyAlignment="1">
      <alignment horizontal="left"/>
    </xf>
    <xf numFmtId="20" fontId="48" fillId="29" borderId="0" xfId="63" quotePrefix="1" applyNumberFormat="1" applyFont="1" applyFill="1" applyAlignment="1">
      <alignment horizontal="right"/>
    </xf>
    <xf numFmtId="167" fontId="48" fillId="29" borderId="0" xfId="28" applyNumberFormat="1" applyFont="1" applyFill="1" applyBorder="1" applyAlignment="1">
      <alignment horizontal="left"/>
    </xf>
    <xf numFmtId="0" fontId="94" fillId="29" borderId="0" xfId="63" applyFont="1" applyFill="1"/>
    <xf numFmtId="6" fontId="48" fillId="29" borderId="0" xfId="63" applyNumberFormat="1" applyFont="1" applyFill="1"/>
    <xf numFmtId="8" fontId="48" fillId="29" borderId="0" xfId="63" applyNumberFormat="1" applyFont="1" applyFill="1"/>
    <xf numFmtId="164" fontId="39" fillId="29" borderId="0" xfId="63" applyNumberFormat="1" applyFont="1" applyFill="1"/>
    <xf numFmtId="0" fontId="85" fillId="29" borderId="63" xfId="0" applyFont="1" applyFill="1" applyBorder="1" applyAlignment="1">
      <alignment vertical="center"/>
    </xf>
    <xf numFmtId="20" fontId="48" fillId="29" borderId="22" xfId="63" quotePrefix="1" applyNumberFormat="1" applyFont="1" applyFill="1" applyBorder="1" applyAlignment="1">
      <alignment horizontal="right"/>
    </xf>
    <xf numFmtId="0" fontId="44" fillId="29" borderId="18" xfId="0" applyFont="1" applyFill="1" applyBorder="1" applyAlignment="1">
      <alignment horizontal="right"/>
    </xf>
    <xf numFmtId="0" fontId="44" fillId="29" borderId="0" xfId="0" applyFont="1" applyFill="1" applyAlignment="1">
      <alignment horizontal="right"/>
    </xf>
    <xf numFmtId="0" fontId="44" fillId="29" borderId="23" xfId="0" applyFont="1" applyFill="1" applyBorder="1" applyAlignment="1">
      <alignment horizontal="right"/>
    </xf>
    <xf numFmtId="0" fontId="39" fillId="27" borderId="11" xfId="0" applyFont="1" applyFill="1" applyBorder="1" applyAlignment="1" applyProtection="1">
      <alignment horizontal="center"/>
      <protection locked="0"/>
    </xf>
    <xf numFmtId="6" fontId="39" fillId="40" borderId="0" xfId="0" applyNumberFormat="1" applyFont="1" applyFill="1" applyAlignment="1">
      <alignment horizontal="center" vertical="center"/>
    </xf>
    <xf numFmtId="6" fontId="39" fillId="40" borderId="23" xfId="0" applyNumberFormat="1" applyFont="1" applyFill="1" applyBorder="1" applyAlignment="1">
      <alignment horizontal="center" vertical="center"/>
    </xf>
    <xf numFmtId="6" fontId="39" fillId="40" borderId="35" xfId="0" applyNumberFormat="1" applyFont="1" applyFill="1" applyBorder="1" applyAlignment="1">
      <alignment horizontal="center" vertical="center"/>
    </xf>
    <xf numFmtId="6" fontId="39" fillId="40" borderId="25" xfId="0" applyNumberFormat="1" applyFont="1" applyFill="1" applyBorder="1" applyAlignment="1">
      <alignment horizontal="center" vertical="center"/>
    </xf>
    <xf numFmtId="0" fontId="89" fillId="39" borderId="34" xfId="0" applyFont="1" applyFill="1" applyBorder="1" applyAlignment="1">
      <alignment horizontal="center" vertical="center" wrapText="1"/>
    </xf>
    <xf numFmtId="0" fontId="89" fillId="39" borderId="27" xfId="0" applyFont="1" applyFill="1" applyBorder="1" applyAlignment="1">
      <alignment horizontal="center" vertical="center" wrapText="1"/>
    </xf>
    <xf numFmtId="6" fontId="39" fillId="39" borderId="23" xfId="0" applyNumberFormat="1" applyFont="1" applyFill="1" applyBorder="1" applyAlignment="1">
      <alignment horizontal="center"/>
    </xf>
    <xf numFmtId="6" fontId="39" fillId="39" borderId="0" xfId="0" applyNumberFormat="1" applyFont="1" applyFill="1" applyAlignment="1">
      <alignment horizontal="center"/>
    </xf>
    <xf numFmtId="6" fontId="39" fillId="39" borderId="35" xfId="0" applyNumberFormat="1" applyFont="1" applyFill="1" applyBorder="1" applyAlignment="1">
      <alignment horizontal="center"/>
    </xf>
    <xf numFmtId="6" fontId="39" fillId="39" borderId="25" xfId="0" applyNumberFormat="1" applyFont="1" applyFill="1" applyBorder="1" applyAlignment="1">
      <alignment horizontal="center"/>
    </xf>
    <xf numFmtId="0" fontId="51" fillId="35" borderId="43" xfId="0" applyFont="1" applyFill="1" applyBorder="1" applyAlignment="1">
      <alignment horizontal="left" vertical="top" wrapText="1"/>
    </xf>
    <xf numFmtId="0" fontId="51" fillId="35" borderId="22" xfId="0" applyFont="1" applyFill="1" applyBorder="1" applyAlignment="1">
      <alignment horizontal="left" vertical="top" wrapText="1"/>
    </xf>
    <xf numFmtId="167" fontId="51" fillId="35" borderId="46" xfId="28" applyNumberFormat="1" applyFont="1" applyFill="1" applyBorder="1" applyAlignment="1">
      <alignment horizontal="left" vertical="center"/>
    </xf>
    <xf numFmtId="167" fontId="51" fillId="35" borderId="23" xfId="28" applyNumberFormat="1" applyFont="1" applyFill="1" applyBorder="1" applyAlignment="1">
      <alignment horizontal="left" vertical="center"/>
    </xf>
    <xf numFmtId="0" fontId="37" fillId="35" borderId="43" xfId="0" applyFont="1" applyFill="1" applyBorder="1" applyAlignment="1">
      <alignment horizontal="left" wrapText="1"/>
    </xf>
    <xf numFmtId="0" fontId="37" fillId="35" borderId="22" xfId="0" applyFont="1" applyFill="1" applyBorder="1" applyAlignment="1">
      <alignment horizontal="left" wrapText="1"/>
    </xf>
    <xf numFmtId="0" fontId="68" fillId="40" borderId="26" xfId="0" applyFont="1" applyFill="1" applyBorder="1" applyAlignment="1">
      <alignment horizontal="left" vertical="top"/>
    </xf>
    <xf numFmtId="0" fontId="68" fillId="40" borderId="34" xfId="0" applyFont="1" applyFill="1" applyBorder="1" applyAlignment="1">
      <alignment horizontal="left" vertical="top"/>
    </xf>
    <xf numFmtId="0" fontId="89" fillId="40" borderId="34" xfId="0" applyFont="1" applyFill="1" applyBorder="1" applyAlignment="1">
      <alignment horizontal="center" vertical="center" wrapText="1"/>
    </xf>
    <xf numFmtId="0" fontId="89" fillId="40" borderId="27" xfId="0" applyFont="1" applyFill="1" applyBorder="1" applyAlignment="1">
      <alignment horizontal="center" vertical="center" wrapText="1"/>
    </xf>
    <xf numFmtId="0" fontId="44" fillId="0" borderId="20" xfId="0" applyFont="1" applyBorder="1" applyAlignment="1">
      <alignment horizontal="right" vertical="center"/>
    </xf>
    <xf numFmtId="0" fontId="44" fillId="0" borderId="21" xfId="0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44" fillId="0" borderId="15" xfId="0" applyFont="1" applyBorder="1" applyAlignment="1">
      <alignment horizontal="right" vertical="center"/>
    </xf>
    <xf numFmtId="0" fontId="44" fillId="0" borderId="17" xfId="0" applyFont="1" applyBorder="1" applyAlignment="1">
      <alignment horizontal="right" vertical="center"/>
    </xf>
    <xf numFmtId="0" fontId="44" fillId="0" borderId="18" xfId="0" applyFont="1" applyBorder="1" applyAlignment="1">
      <alignment horizontal="right" vertical="center"/>
    </xf>
    <xf numFmtId="0" fontId="44" fillId="0" borderId="13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70" fillId="29" borderId="13" xfId="0" applyFont="1" applyFill="1" applyBorder="1" applyAlignment="1">
      <alignment horizontal="right" vertical="center" wrapText="1"/>
    </xf>
    <xf numFmtId="0" fontId="7" fillId="29" borderId="0" xfId="0" applyFont="1" applyFill="1" applyAlignment="1">
      <alignment horizontal="left" vertical="top" wrapText="1"/>
    </xf>
    <xf numFmtId="0" fontId="0" fillId="29" borderId="0" xfId="0" applyFill="1" applyAlignment="1">
      <alignment horizontal="left" vertical="top" wrapText="1"/>
    </xf>
    <xf numFmtId="0" fontId="10" fillId="0" borderId="1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39" fillId="32" borderId="11" xfId="0" applyFont="1" applyFill="1" applyBorder="1" applyAlignment="1" applyProtection="1">
      <alignment horizontal="center"/>
      <protection locked="0"/>
    </xf>
    <xf numFmtId="0" fontId="39" fillId="32" borderId="11" xfId="44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10" fillId="29" borderId="0" xfId="0" applyFont="1" applyFill="1" applyAlignment="1">
      <alignment horizontal="left" vertical="top" wrapText="1"/>
    </xf>
    <xf numFmtId="0" fontId="7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7" fillId="35" borderId="43" xfId="63" applyFont="1" applyFill="1" applyBorder="1" applyAlignment="1">
      <alignment horizontal="left" wrapText="1"/>
    </xf>
    <xf numFmtId="0" fontId="37" fillId="35" borderId="22" xfId="63" applyFont="1" applyFill="1" applyBorder="1" applyAlignment="1">
      <alignment horizontal="left" wrapText="1"/>
    </xf>
    <xf numFmtId="0" fontId="51" fillId="35" borderId="43" xfId="63" applyFont="1" applyFill="1" applyBorder="1" applyAlignment="1">
      <alignment horizontal="left" vertical="top" wrapText="1"/>
    </xf>
    <xf numFmtId="0" fontId="51" fillId="35" borderId="22" xfId="63" applyFont="1" applyFill="1" applyBorder="1" applyAlignment="1">
      <alignment horizontal="left" vertical="top" wrapText="1"/>
    </xf>
    <xf numFmtId="0" fontId="74" fillId="29" borderId="0" xfId="63" applyFont="1" applyFill="1" applyAlignment="1">
      <alignment horizontal="left" vertical="top" wrapText="1"/>
    </xf>
    <xf numFmtId="0" fontId="74" fillId="29" borderId="23" xfId="63" applyFont="1" applyFill="1" applyBorder="1" applyAlignment="1">
      <alignment horizontal="left" vertical="top" wrapText="1"/>
    </xf>
    <xf numFmtId="9" fontId="39" fillId="29" borderId="0" xfId="44" applyFont="1" applyFill="1" applyAlignment="1">
      <alignment horizontal="right" wrapText="1"/>
    </xf>
    <xf numFmtId="9" fontId="39" fillId="29" borderId="23" xfId="44" applyFont="1" applyFill="1" applyBorder="1" applyAlignment="1">
      <alignment horizontal="right" wrapText="1"/>
    </xf>
    <xf numFmtId="0" fontId="7" fillId="0" borderId="0" xfId="63" applyAlignment="1">
      <alignment horizontal="left" vertical="center" wrapText="1"/>
    </xf>
    <xf numFmtId="0" fontId="9" fillId="0" borderId="16" xfId="63" applyFont="1" applyBorder="1" applyAlignment="1">
      <alignment horizontal="center" vertical="center"/>
    </xf>
    <xf numFmtId="0" fontId="7" fillId="0" borderId="0" xfId="67" applyAlignment="1">
      <alignment horizontal="center"/>
    </xf>
    <xf numFmtId="0" fontId="7" fillId="42" borderId="0" xfId="67" applyFill="1" applyAlignment="1">
      <alignment horizontal="center"/>
    </xf>
    <xf numFmtId="0" fontId="7" fillId="40" borderId="0" xfId="67" applyFill="1" applyAlignment="1">
      <alignment horizontal="center" vertical="center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69" builtinId="3"/>
    <cellStyle name="Comma 2" xfId="57" xr:uid="{00000000-0005-0000-0000-00001B000000}"/>
    <cellStyle name="Comma 3" xfId="61" xr:uid="{00000000-0005-0000-0000-00001C000000}"/>
    <cellStyle name="Currency" xfId="28" builtinId="4"/>
    <cellStyle name="Currency 2" xfId="52" xr:uid="{00000000-0005-0000-0000-00001E000000}"/>
    <cellStyle name="Currency 2 2" xfId="56" xr:uid="{00000000-0005-0000-0000-00001F000000}"/>
    <cellStyle name="Currency 2 3" xfId="64" xr:uid="{54B92CF2-DC33-F549-A2EC-046BD2B2D406}"/>
    <cellStyle name="Currency 3" xfId="54" xr:uid="{00000000-0005-0000-0000-000020000000}"/>
    <cellStyle name="Currency 4" xfId="59" xr:uid="{00000000-0005-0000-0000-000021000000}"/>
    <cellStyle name="Currency 5" xfId="66" xr:uid="{77741308-79E3-DF4D-B987-554A22D72CB3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45" xr:uid="{00000000-0005-0000-0000-00002D000000}"/>
    <cellStyle name="Normal 2 2" xfId="55" xr:uid="{00000000-0005-0000-0000-00002E000000}"/>
    <cellStyle name="Normal 2 3" xfId="63" xr:uid="{073E5740-0F4E-1143-952E-49B4E3561A97}"/>
    <cellStyle name="Normal 3" xfId="47" xr:uid="{00000000-0005-0000-0000-00002F000000}"/>
    <cellStyle name="Normal 3 2" xfId="67" xr:uid="{584964AF-28CB-324B-A1AA-4736EAAD57EC}"/>
    <cellStyle name="Normal 4" xfId="49" xr:uid="{00000000-0005-0000-0000-000030000000}"/>
    <cellStyle name="Normal 5" xfId="51" xr:uid="{00000000-0005-0000-0000-000031000000}"/>
    <cellStyle name="Normal 6" xfId="53" xr:uid="{00000000-0005-0000-0000-000032000000}"/>
    <cellStyle name="Normal 7" xfId="58" xr:uid="{00000000-0005-0000-0000-000033000000}"/>
    <cellStyle name="Normal 8" xfId="60" xr:uid="{00000000-0005-0000-0000-000034000000}"/>
    <cellStyle name="Normal 9" xfId="62" xr:uid="{134BEEEC-DE54-2148-8802-28946ED0A017}"/>
    <cellStyle name="Note" xfId="39" builtinId="10" customBuiltin="1"/>
    <cellStyle name="Output" xfId="40" builtinId="21" customBuiltin="1"/>
    <cellStyle name="Percent" xfId="44" builtinId="5"/>
    <cellStyle name="Percent 2" xfId="46" xr:uid="{00000000-0005-0000-0000-000039000000}"/>
    <cellStyle name="Percent 2 2" xfId="65" xr:uid="{08534AB9-3840-3F45-877E-12B738DBD5D2}"/>
    <cellStyle name="Percent 3" xfId="48" xr:uid="{00000000-0005-0000-0000-00003A000000}"/>
    <cellStyle name="Percent 4" xfId="50" xr:uid="{00000000-0005-0000-0000-00003B000000}"/>
    <cellStyle name="Percent 5" xfId="68" xr:uid="{92ADC141-63B9-FB45-B12F-7C58988487C7}"/>
    <cellStyle name="Title" xfId="41" builtinId="15" customBuiltin="1"/>
    <cellStyle name="Total" xfId="42" builtinId="25" customBuiltin="1"/>
    <cellStyle name="Warning Text" xfId="43" builtinId="11" customBuiltin="1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CC"/>
      <color rgb="FFFF66FF"/>
      <color rgb="FF5F7530"/>
      <color rgb="FFFDE9D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</a:t>
            </a:r>
            <a:r>
              <a:rPr lang="es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:</a:t>
            </a:r>
          </a:p>
          <a:p>
            <a:pPr>
              <a:defRPr/>
            </a:pPr>
            <a:r>
              <a:rPr lang="es-E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es-ES" sz="16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Costo anual por niño, centro de cuidado infantil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 sz="1100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centros'!$F$65:$F$70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centros'!$G$65:$G$70</c:f>
              <c:numCache>
                <c:formatCode>"$"#,##0</c:formatCode>
                <c:ptCount val="6"/>
                <c:pt idx="0">
                  <c:v>27217.038119064633</c:v>
                </c:pt>
                <c:pt idx="1">
                  <c:v>22456.751082027604</c:v>
                </c:pt>
                <c:pt idx="2">
                  <c:v>22456.751082027604</c:v>
                </c:pt>
                <c:pt idx="3">
                  <c:v>17148.28204214156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6-6243-9E26-F3092F51A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baseline="0"/>
              <a:t>Modelo de costos de cuidado infantil de Nebraska: </a:t>
            </a:r>
          </a:p>
          <a:p>
            <a:pPr>
              <a:defRPr/>
            </a:pPr>
            <a:r>
              <a:rPr lang="es-ES" sz="1600" b="0" i="0" u="none" strike="noStrike" baseline="0"/>
              <a:t>Brecha mensual entre el costo por niño y el subsidio de cuidado infantil actual, centro de cuidado infantil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layout>
        <c:manualLayout>
          <c:xMode val="edge"/>
          <c:yMode val="edge"/>
          <c:x val="0.1178435096928673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36148070933777E-2"/>
          <c:y val="0.19791758109001772"/>
          <c:w val="0.9079196727898623"/>
          <c:h val="0.700212890055409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centros'!$F$75:$F$80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centros'!$H$75:$H$80</c:f>
              <c:numCache>
                <c:formatCode>"$"#,##0_);[Red]\("$"#,##0\)</c:formatCode>
                <c:ptCount val="6"/>
                <c:pt idx="0">
                  <c:v>-1362.9615099220528</c:v>
                </c:pt>
                <c:pt idx="1">
                  <c:v>-1048.0625901689668</c:v>
                </c:pt>
                <c:pt idx="2">
                  <c:v>-1048.0625901689668</c:v>
                </c:pt>
                <c:pt idx="3">
                  <c:v>-553.58183684512994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F-4F47-A9B5-48AF7F804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7466880"/>
        <c:axId val="95748996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'Cuidado infantil en centros'!$F$75:$F$80</c15:sqref>
                        </c15:formulaRef>
                      </c:ext>
                    </c:extLst>
                    <c:strCache>
                      <c:ptCount val="6"/>
                      <c:pt idx="0">
                        <c:v>Infantes</c:v>
                      </c:pt>
                      <c:pt idx="1">
                        <c:v>Niños pequeños</c:v>
                      </c:pt>
                      <c:pt idx="2">
                        <c:v>2 años de edad</c:v>
                      </c:pt>
                      <c:pt idx="3">
                        <c:v>3 años de edad</c:v>
                      </c:pt>
                      <c:pt idx="4">
                        <c:v>4-5 años de edad</c:v>
                      </c:pt>
                      <c:pt idx="5">
                        <c:v>Edad escolar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'Cuidado infantil en centros'!$I$75:$I$80</c15:sqref>
                        </c15:formulaRef>
                      </c:ext>
                    </c:extLst>
                    <c:numCache>
                      <c:formatCode>"$"#,##0_);[Red]\("$"#,##0\)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48F-4F47-A9B5-48AF7F8048EB}"/>
                  </c:ext>
                </c:extLst>
              </c15:ser>
            </c15:filteredBarSeries>
          </c:ext>
        </c:extLst>
      </c:barChart>
      <c:catAx>
        <c:axId val="95746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489968"/>
        <c:crosses val="autoZero"/>
        <c:auto val="1"/>
        <c:lblAlgn val="ctr"/>
        <c:lblOffset val="100"/>
        <c:noMultiLvlLbl val="0"/>
      </c:catAx>
      <c:valAx>
        <c:axId val="95748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46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baseline="0"/>
              <a:t>Modelo de costos de cuidado infantil de Nebraska: </a:t>
            </a:r>
          </a:p>
          <a:p>
            <a:pPr>
              <a:defRPr/>
            </a:pPr>
            <a:r>
              <a:rPr lang="es-ES" sz="1600" b="0" i="0" u="none" strike="noStrike" baseline="0"/>
              <a:t>Brecha mensual entre el costo por niño y el precio de matrícula de mercado, centro de cuidado infantil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layout>
        <c:manualLayout>
          <c:xMode val="edge"/>
          <c:yMode val="edge"/>
          <c:x val="0.14913055909910702"/>
          <c:y val="1.51015944905578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27609080846582E-2"/>
          <c:y val="0.18108067286912308"/>
          <c:w val="0.9122392090745981"/>
          <c:h val="0.719529017206182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centros'!$F$85:$F$90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centros'!$H$85:$H$90</c:f>
              <c:numCache>
                <c:formatCode>"$"#,##0_);[Red]\("$"#,##0\)</c:formatCode>
                <c:ptCount val="6"/>
                <c:pt idx="0">
                  <c:v>-1148.2448432553861</c:v>
                </c:pt>
                <c:pt idx="1">
                  <c:v>-794.88759016896711</c:v>
                </c:pt>
                <c:pt idx="2">
                  <c:v>-794.88759016896711</c:v>
                </c:pt>
                <c:pt idx="3">
                  <c:v>-410.14850351179666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7-364B-8C32-7F5A15EAC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5541456"/>
        <c:axId val="1055543184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'Cuidado infantil en centros'!$F$85:$F$90</c15:sqref>
                        </c15:formulaRef>
                      </c:ext>
                    </c:extLst>
                    <c:strCache>
                      <c:ptCount val="6"/>
                      <c:pt idx="0">
                        <c:v>Infantes</c:v>
                      </c:pt>
                      <c:pt idx="1">
                        <c:v>Niños pequeños</c:v>
                      </c:pt>
                      <c:pt idx="2">
                        <c:v>2 años de edad</c:v>
                      </c:pt>
                      <c:pt idx="3">
                        <c:v>3 años de edad</c:v>
                      </c:pt>
                      <c:pt idx="4">
                        <c:v>4-5 años de edad</c:v>
                      </c:pt>
                      <c:pt idx="5">
                        <c:v>Edad escolar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'Cuidado infantil en centros'!$I$85:$I$90</c15:sqref>
                        </c15:formulaRef>
                      </c:ext>
                    </c:extLst>
                    <c:numCache>
                      <c:formatCode>"$"#,##0_);[Red]\("$"#,##0\)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457-364B-8C32-7F5A15EAC257}"/>
                  </c:ext>
                </c:extLst>
              </c15:ser>
            </c15:filteredBarSeries>
          </c:ext>
        </c:extLst>
      </c:barChart>
      <c:catAx>
        <c:axId val="105554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543184"/>
        <c:crosses val="autoZero"/>
        <c:auto val="1"/>
        <c:lblAlgn val="ctr"/>
        <c:lblOffset val="100"/>
        <c:noMultiLvlLbl val="0"/>
      </c:catAx>
      <c:valAx>
        <c:axId val="105554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541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Comparación de costo por niño, centro de cuidado infantil</a:t>
            </a:r>
          </a:p>
        </c:rich>
      </c:tx>
      <c:layout>
        <c:manualLayout>
          <c:xMode val="edge"/>
          <c:yMode val="edge"/>
          <c:x val="0.29514177632003402"/>
          <c:y val="3.40882085562435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'Cuidado infantil en centros'!$C$152:$C$152</c:f>
              <c:strCache>
                <c:ptCount val="1"/>
                <c:pt idx="0">
                  <c:v>Escenario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centros'!$B$153:$B$158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centros'!$C$153:$C$158</c:f>
              <c:numCache>
                <c:formatCode>"$"#,##0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BE6C-2247-BA78-D849CC102308}"/>
            </c:ext>
          </c:extLst>
        </c:ser>
        <c:ser>
          <c:idx val="1"/>
          <c:order val="1"/>
          <c:tx>
            <c:strRef>
              <c:f>'Cuidado infantil en centros'!$D$152:$D$152</c:f>
              <c:strCache>
                <c:ptCount val="1"/>
                <c:pt idx="0">
                  <c:v>Escenario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centros'!$B$153:$B$158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centros'!$D$153:$D$158</c:f>
              <c:numCache>
                <c:formatCode>_("$"* #,##0_);_("$"* \(#,##0\);_("$"* "-"??_);_(@_)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BE6C-2247-BA78-D849CC102308}"/>
            </c:ext>
          </c:extLst>
        </c:ser>
        <c:ser>
          <c:idx val="2"/>
          <c:order val="2"/>
          <c:tx>
            <c:strRef>
              <c:f>'Cuidado infantil en centros'!$E$152:$E$152</c:f>
              <c:strCache>
                <c:ptCount val="1"/>
                <c:pt idx="0">
                  <c:v>Escenario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centros'!$B$153:$B$158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centros'!$E$153:$E$158</c:f>
              <c:numCache>
                <c:formatCode>_("$"* #,##0.00_);_("$"* \(#,##0.00\);_("$"* "-"??_);_(@_)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BE6C-2247-BA78-D849CC1023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01550384"/>
        <c:axId val="401554560"/>
      </c:barChart>
      <c:catAx>
        <c:axId val="40155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554560"/>
        <c:crosses val="autoZero"/>
        <c:auto val="1"/>
        <c:lblAlgn val="ctr"/>
        <c:lblOffset val="100"/>
        <c:noMultiLvlLbl val="0"/>
      </c:catAx>
      <c:valAx>
        <c:axId val="4015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55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u="none" strike="noStrike" baseline="0"/>
              <a:t>Modelo de costos de cuidado infantil de Nebraska: </a:t>
            </a:r>
          </a:p>
          <a:p>
            <a:pPr>
              <a:defRPr/>
            </a:pPr>
            <a:r>
              <a:rPr lang="es-ES" sz="1400" b="0" i="0" u="none" strike="noStrike" baseline="0"/>
              <a:t>Desglose de Gastos, Centro de Cuidado Infantil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92-8048-8591-3C9DAE3596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A92-8048-8591-3C9DAE35963B}"/>
              </c:ext>
            </c:extLst>
          </c:dPt>
          <c:dLbls>
            <c:dLbl>
              <c:idx val="0"/>
              <c:layout>
                <c:manualLayout>
                  <c:x val="0.11060558610218525"/>
                  <c:y val="2.204734314350706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900" b="0" i="0" u="none" strike="noStrike" baseline="0"/>
                      <a:t>Personal </a:t>
                    </a:r>
                  </a:p>
                  <a:p>
                    <a:pPr>
                      <a:defRPr>
                        <a:solidFill>
                          <a:sysClr val="windowText" lastClr="000000"/>
                        </a:solidFill>
                      </a:defRPr>
                    </a:pPr>
                    <a:endParaRPr lang="en-US" sz="900" b="0" i="0" u="none" strike="noStrike" baseline="0"/>
                  </a:p>
                  <a:p>
                    <a:pPr>
                      <a:defRPr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900" b="0" i="0" u="none" strike="noStrike" baseline="0"/>
                      <a:t>$805,062 62%</a:t>
                    </a:r>
                    <a:endParaRPr 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4391980866884216"/>
                      <c:h val="0.14793217729359787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1-5A92-8048-8591-3C9DAE35963B}"/>
                </c:ext>
              </c:extLst>
            </c:dLbl>
            <c:dLbl>
              <c:idx val="1"/>
              <c:layout>
                <c:manualLayout>
                  <c:x val="-4.9107158393012711E-2"/>
                  <c:y val="-3.329990103649029E-17"/>
                </c:manualLayout>
              </c:layout>
              <c:tx>
                <c:rich>
                  <a:bodyPr/>
                  <a:lstStyle/>
                  <a:p>
                    <a:br>
                      <a:rPr lang="en-US" sz="900" b="0" i="0" u="none" strike="noStrike" baseline="0"/>
                    </a:br>
                    <a:r>
                      <a:rPr lang="en-US" sz="900" b="0" i="0" u="none" strike="noStrike" baseline="0">
                        <a:effectLst/>
                      </a:rPr>
                      <a:t>No personal</a:t>
                    </a:r>
                  </a:p>
                  <a:p>
                    <a:r>
                      <a:rPr lang="en-US" baseline="0"/>
                      <a:t>
</a:t>
                    </a:r>
                    <a:fld id="{E1BB6156-D758-544E-8AC4-1ED9D3097B6B}" type="VALUE">
                      <a:rPr lang="en-US" baseline="0"/>
                      <a:pPr/>
                      <a:t>[]</a:t>
                    </a:fld>
                    <a:r>
                      <a:rPr lang="en-US" baseline="0"/>
                      <a:t>
</a:t>
                    </a:r>
                    <a:fld id="{3C4987CD-29F3-6146-B6DA-001D05B27613}" type="PERCENTAGE">
                      <a:rPr lang="en-US" baseline="0"/>
                      <a:pPr/>
                      <a:t>[]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5A92-8048-8591-3C9DAE3596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numRef>
              <c:f>'Cuidado infantil en centros'!$B$134:$B$135</c:f>
              <c:numCache>
                <c:formatCode>General</c:formatCode>
                <c:ptCount val="2"/>
              </c:numCache>
            </c:numRef>
          </c:cat>
          <c:val>
            <c:numRef>
              <c:f>'Cuidado infantil en centros'!$H$182:$H$183</c:f>
              <c:numCache>
                <c:formatCode>_("$"* #,##0_);_("$"* \(#,##0\);_("$"* "-"??_);_(@_)</c:formatCode>
                <c:ptCount val="2"/>
                <c:pt idx="0">
                  <c:v>961590.73846692313</c:v>
                </c:pt>
                <c:pt idx="1">
                  <c:v>224074.84877334617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'Cuidado infantil en centros'!$G$182:$G$183</c15:f>
                <c15:dlblRangeCache>
                  <c:ptCount val="2"/>
                  <c:pt idx="0">
                    <c:v>Personnel</c:v>
                  </c:pt>
                  <c:pt idx="1">
                    <c:v>Nonpersonnel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5A92-8048-8591-3C9DAE3596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u="none" strike="noStrike" baseline="0"/>
              <a:t>Modelo de costos de cuidado infantil de Nebraska: </a:t>
            </a:r>
          </a:p>
          <a:p>
            <a:pPr>
              <a:defRPr/>
            </a:pPr>
            <a:r>
              <a:rPr lang="es-ES" sz="1400" b="0" i="0" u="none" strike="noStrike" baseline="0"/>
              <a:t>Comparación de gastos e ingresos anuales, centro de cuidado infantil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D6F-D24B-8E29-3A5D56206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centros'!$G$192:$H$192</c:f>
              <c:strCache>
                <c:ptCount val="2"/>
                <c:pt idx="0">
                  <c:v>Gastos</c:v>
                </c:pt>
                <c:pt idx="1">
                  <c:v>Ingresos</c:v>
                </c:pt>
              </c:strCache>
            </c:strRef>
          </c:cat>
          <c:val>
            <c:numRef>
              <c:f>'Cuidado infantil en centros'!$G$193:$H$193</c:f>
              <c:numCache>
                <c:formatCode>_("$"* #,##0_);_("$"* \(#,##0\);_("$"* "-"??_);_(@_)</c:formatCode>
                <c:ptCount val="2"/>
                <c:pt idx="0">
                  <c:v>1185665.5872402694</c:v>
                </c:pt>
                <c:pt idx="1">
                  <c:v>674500.3504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6F-D24B-8E29-3A5D5620603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55868672"/>
        <c:axId val="1055870400"/>
      </c:barChart>
      <c:catAx>
        <c:axId val="105586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870400"/>
        <c:crosses val="autoZero"/>
        <c:auto val="1"/>
        <c:lblAlgn val="ctr"/>
        <c:lblOffset val="100"/>
        <c:noMultiLvlLbl val="0"/>
      </c:catAx>
      <c:valAx>
        <c:axId val="105587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86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baseline="0"/>
              <a:t>Modelo de costos de cuidado infantil de Nebraska</a:t>
            </a:r>
            <a:r>
              <a:rPr lang="es-ES" sz="1200" b="0" i="0" u="none" strike="noStrike" baseline="0"/>
              <a:t>:</a:t>
            </a:r>
          </a:p>
          <a:p>
            <a:pPr>
              <a:defRPr/>
            </a:pPr>
            <a:r>
              <a:rPr lang="es-ES" sz="1400" b="0" i="0" u="none" strike="noStrike" baseline="0"/>
              <a:t> </a:t>
            </a:r>
            <a:r>
              <a:rPr lang="es-ES" sz="1600" b="0" i="0" u="none" strike="noStrike" baseline="0"/>
              <a:t>Costo mensual por niño, centro de cuidado infantil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centros'!$F$65:$F$70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centros'!$H$65:$H$70</c:f>
              <c:numCache>
                <c:formatCode>"$"#,##0</c:formatCode>
                <c:ptCount val="6"/>
                <c:pt idx="0">
                  <c:v>2268.0865099220528</c:v>
                </c:pt>
                <c:pt idx="1">
                  <c:v>1871.3959235023003</c:v>
                </c:pt>
                <c:pt idx="2">
                  <c:v>1871.3959235023003</c:v>
                </c:pt>
                <c:pt idx="3">
                  <c:v>1429.0235035117967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A-D141-8717-8A2C40C3F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ES" sz="1600" b="0" i="0" u="none" strike="noStrike" baseline="0"/>
              <a:t>Costo semanal por niño, centro de cuidado infantil</a:t>
            </a: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en centros'!$F$65:$F$70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en centros'!$I$65:$I$70</c:f>
              <c:numCache>
                <c:formatCode>"$"#,##0</c:formatCode>
                <c:ptCount val="6"/>
                <c:pt idx="0">
                  <c:v>523.40457921278141</c:v>
                </c:pt>
                <c:pt idx="1">
                  <c:v>431.86059773130006</c:v>
                </c:pt>
                <c:pt idx="2">
                  <c:v>431.86059773130006</c:v>
                </c:pt>
                <c:pt idx="3">
                  <c:v>329.77465465656849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A-3945-9498-7179BAB14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0" i="0" u="none" strike="noStrike" baseline="0"/>
              <a:t>Modelo de costos de cuidado infantil de Nebraska: </a:t>
            </a:r>
          </a:p>
          <a:p>
            <a:pPr>
              <a:defRPr/>
            </a:pPr>
            <a:r>
              <a:rPr lang="es-ES" sz="1400" b="0" i="0" u="none" strike="noStrike" baseline="0"/>
              <a:t>Desglose de Ingresos, Centro de Cuidado Infantil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E1-494A-8F8B-824CE5C0F5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DE1-494A-8F8B-824CE5C0F5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E1-494A-8F8B-824CE5C0F5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DE1-494A-8F8B-824CE5C0F5A4}"/>
              </c:ext>
            </c:extLst>
          </c:dPt>
          <c:dLbls>
            <c:dLbl>
              <c:idx val="0"/>
              <c:layout>
                <c:manualLayout>
                  <c:x val="0.20187094708240771"/>
                  <c:y val="3.787890953473949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5258458822750187"/>
                      <c:h val="0.111103271060895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DE1-494A-8F8B-824CE5C0F5A4}"/>
                </c:ext>
              </c:extLst>
            </c:dLbl>
            <c:dLbl>
              <c:idx val="1"/>
              <c:layout>
                <c:manualLayout>
                  <c:x val="8.4690316815744446E-2"/>
                  <c:y val="0.1859357933951036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0252243611630685"/>
                      <c:h val="0.111103271060895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5DE1-494A-8F8B-824CE5C0F5A4}"/>
                </c:ext>
              </c:extLst>
            </c:dLbl>
            <c:dLbl>
              <c:idx val="2"/>
              <c:layout>
                <c:manualLayout>
                  <c:x val="-0.10629906737175898"/>
                  <c:y val="6.313143478726475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5433422620835494"/>
                      <c:h val="0.111103271060895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DE1-494A-8F8B-824CE5C0F5A4}"/>
                </c:ext>
              </c:extLst>
            </c:dLbl>
            <c:dLbl>
              <c:idx val="3"/>
              <c:layout>
                <c:manualLayout>
                  <c:x val="-0.22120125442536587"/>
                  <c:y val="0.114343713656018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0730428930862174"/>
                      <c:h val="0.1111032710608958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DE1-494A-8F8B-824CE5C0F5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'Cuidado infantil en centros'!$G$185:$G$188</c:f>
              <c:strCache>
                <c:ptCount val="4"/>
                <c:pt idx="0">
                  <c:v>CACFP</c:v>
                </c:pt>
                <c:pt idx="1">
                  <c:v>Subsidio</c:v>
                </c:pt>
                <c:pt idx="2">
                  <c:v>Matrícula</c:v>
                </c:pt>
                <c:pt idx="3">
                  <c:v>Otro ingresos</c:v>
                </c:pt>
              </c:strCache>
            </c:strRef>
          </c:cat>
          <c:val>
            <c:numRef>
              <c:f>'Cuidado infantil en centros'!$H$185:$H$188</c:f>
              <c:numCache>
                <c:formatCode>_("$"* #,##0_);_("$"* \(#,##0\);_("$"* "-"??_);_(@_)</c:formatCode>
                <c:ptCount val="4"/>
                <c:pt idx="0">
                  <c:v>71707.999999999985</c:v>
                </c:pt>
                <c:pt idx="1">
                  <c:v>290206.8</c:v>
                </c:pt>
                <c:pt idx="2">
                  <c:v>353064.39999999997</c:v>
                </c:pt>
                <c:pt idx="3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E1-494A-8F8B-824CE5C0F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</a:t>
            </a:r>
            <a:r>
              <a:rPr lang="es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:</a:t>
            </a:r>
          </a:p>
          <a:p>
            <a:pPr>
              <a:defRPr/>
            </a:pPr>
            <a:r>
              <a:rPr lang="es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Costo anual por niño,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familiar'!$F$63:$F$68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familiar'!$G$63:$G$68</c:f>
              <c:numCache>
                <c:formatCode>"$"#,##0_);[Red]\("$"#,##0\)</c:formatCode>
                <c:ptCount val="6"/>
                <c:pt idx="0">
                  <c:v>24230.41758984375</c:v>
                </c:pt>
                <c:pt idx="1">
                  <c:v>24230.41758984375</c:v>
                </c:pt>
                <c:pt idx="2">
                  <c:v>24230.41758984375</c:v>
                </c:pt>
                <c:pt idx="3">
                  <c:v>24230.41758984375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D-A14F-B6FC-B7E1ECFAC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Brecha mensual entre el costo por niño y el subsidio de cuidado infantil actual, cuidado infantil en el hogar</a:t>
            </a:r>
            <a:endParaRPr lang="en-US"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layout>
        <c:manualLayout>
          <c:xMode val="edge"/>
          <c:yMode val="edge"/>
          <c:x val="0.1178435096928673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36148070933777E-2"/>
          <c:y val="0.19791758109001772"/>
          <c:w val="0.9079196727898623"/>
          <c:h val="0.700212890055409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familiar'!$G$72:$G$77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familiar'!$I$72:$I$77</c:f>
              <c:numCache>
                <c:formatCode>"$"#,##0.00_);[Red]\("$"#,##0.00\)</c:formatCode>
                <c:ptCount val="6"/>
                <c:pt idx="0">
                  <c:v>-1211.034799153646</c:v>
                </c:pt>
                <c:pt idx="1">
                  <c:v>-1222.9514658203125</c:v>
                </c:pt>
                <c:pt idx="2">
                  <c:v>-1222.9514658203125</c:v>
                </c:pt>
                <c:pt idx="3">
                  <c:v>-1222.9514658203125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A-6545-8F3E-6412939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7466880"/>
        <c:axId val="957489968"/>
        <c:extLst/>
      </c:barChart>
      <c:catAx>
        <c:axId val="95746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489968"/>
        <c:crosses val="autoZero"/>
        <c:auto val="1"/>
        <c:lblAlgn val="ctr"/>
        <c:lblOffset val="100"/>
        <c:noMultiLvlLbl val="0"/>
      </c:catAx>
      <c:valAx>
        <c:axId val="95748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46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Brecha mensual entre el costo por niño y el precio de matrícula de mercado, cuidado infantil en el hogar</a:t>
            </a:r>
            <a:endParaRPr lang="en-US"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27609080846582E-2"/>
          <c:y val="0.18108067286912308"/>
          <c:w val="0.9122392090745981"/>
          <c:h val="0.719529017206182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familiar'!$G$81:$G$86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familiar'!$I$81:$I$86</c:f>
              <c:numCache>
                <c:formatCode>"$"#,##0_);[Red]\("$"#,##0\)</c:formatCode>
                <c:ptCount val="6"/>
                <c:pt idx="0">
                  <c:v>-1325.868132486979</c:v>
                </c:pt>
                <c:pt idx="1">
                  <c:v>-1347.534799153646</c:v>
                </c:pt>
                <c:pt idx="2">
                  <c:v>-1347.534799153646</c:v>
                </c:pt>
                <c:pt idx="3">
                  <c:v>-1347.534799153646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FA-2841-B2D7-79C9A8AB8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5541456"/>
        <c:axId val="1055543184"/>
        <c:extLst/>
      </c:barChart>
      <c:catAx>
        <c:axId val="105554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543184"/>
        <c:crosses val="autoZero"/>
        <c:auto val="1"/>
        <c:lblAlgn val="ctr"/>
        <c:lblOffset val="100"/>
        <c:noMultiLvlLbl val="0"/>
      </c:catAx>
      <c:valAx>
        <c:axId val="105554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541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>
              <a:defRPr/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Comparación de costo por niño, </a:t>
            </a: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 sz="16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'Cuidado infantil familiar'!$C$148</c:f>
              <c:strCache>
                <c:ptCount val="1"/>
                <c:pt idx="0">
                  <c:v>Escenario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familiar'!$B$149:$B$154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familiar'!$C$149:$C$154</c:f>
              <c:numCache>
                <c:formatCode>"$"#,##0</c:formatCode>
                <c:ptCount val="6"/>
                <c:pt idx="0">
                  <c:v>4641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19-5241-9EB3-D2E71A6C77FB}"/>
            </c:ext>
          </c:extLst>
        </c:ser>
        <c:ser>
          <c:idx val="1"/>
          <c:order val="1"/>
          <c:tx>
            <c:strRef>
              <c:f>'Cuidado infantil familiar'!$D$148</c:f>
              <c:strCache>
                <c:ptCount val="1"/>
                <c:pt idx="0">
                  <c:v>Escenario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familiar'!$B$149:$B$154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familiar'!$D$149:$D$154</c:f>
              <c:numCache>
                <c:formatCode>_("$"* #,##0_);_("$"* \(#,##0\);_("$"* "-"??_);_(@_)</c:formatCode>
                <c:ptCount val="6"/>
                <c:pt idx="0">
                  <c:v>4726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19-5241-9EB3-D2E71A6C77FB}"/>
            </c:ext>
          </c:extLst>
        </c:ser>
        <c:ser>
          <c:idx val="2"/>
          <c:order val="2"/>
          <c:tx>
            <c:strRef>
              <c:f>'Cuidado infantil familiar'!$E$148</c:f>
              <c:strCache>
                <c:ptCount val="1"/>
                <c:pt idx="0">
                  <c:v>Escenario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familiar'!$B$149:$B$154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familiar'!$E$149:$E$154</c:f>
              <c:numCache>
                <c:formatCode>_("$"* #,##0.00_);_("$"* \(#,##0.00\);_("$"* "-"??_);_(@_)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C119-5241-9EB3-D2E71A6C77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01550384"/>
        <c:axId val="401554560"/>
      </c:barChart>
      <c:catAx>
        <c:axId val="40155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554560"/>
        <c:crosses val="autoZero"/>
        <c:auto val="1"/>
        <c:lblAlgn val="ctr"/>
        <c:lblOffset val="100"/>
        <c:noMultiLvlLbl val="0"/>
      </c:catAx>
      <c:valAx>
        <c:axId val="4015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55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>
              <a:defRPr/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Comparación de gastos e ingresos anuales,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DCC-F34F-8C3C-9F5FD52BA2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familiar'!$G$188:$H$188</c:f>
              <c:strCache>
                <c:ptCount val="2"/>
                <c:pt idx="0">
                  <c:v>Gastos</c:v>
                </c:pt>
                <c:pt idx="1">
                  <c:v>Ingresos</c:v>
                </c:pt>
              </c:strCache>
            </c:strRef>
          </c:cat>
          <c:val>
            <c:numRef>
              <c:f>'Cuidado infantil familiar'!$G$189:$H$189</c:f>
              <c:numCache>
                <c:formatCode>_("$"* #,##0_);_("$"* \(#,##0\);_("$"* "-"??_);_(@_)</c:formatCode>
                <c:ptCount val="2"/>
                <c:pt idx="0">
                  <c:v>96921.670359374999</c:v>
                </c:pt>
                <c:pt idx="1">
                  <c:v>65363.504999999997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CC-F34F-8C3C-9F5FD52BA2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55868672"/>
        <c:axId val="1055870400"/>
      </c:barChart>
      <c:catAx>
        <c:axId val="105586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870400"/>
        <c:crosses val="autoZero"/>
        <c:auto val="1"/>
        <c:lblAlgn val="ctr"/>
        <c:lblOffset val="100"/>
        <c:noMultiLvlLbl val="0"/>
      </c:catAx>
      <c:valAx>
        <c:axId val="105587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586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</a:t>
            </a:r>
            <a:r>
              <a:rPr lang="es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:</a:t>
            </a:r>
          </a:p>
          <a:p>
            <a:pPr>
              <a:defRPr/>
            </a:pPr>
            <a:r>
              <a:rPr lang="es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Costo mensual por niño,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familiar'!$F$63:$F$68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familiar'!$H$63:$H$68</c:f>
              <c:numCache>
                <c:formatCode>"$"#,##0_);[Red]\("$"#,##0\)</c:formatCode>
                <c:ptCount val="6"/>
                <c:pt idx="0">
                  <c:v>2019.2014658203125</c:v>
                </c:pt>
                <c:pt idx="1">
                  <c:v>2019.2014658203125</c:v>
                </c:pt>
                <c:pt idx="2">
                  <c:v>2019.2014658203125</c:v>
                </c:pt>
                <c:pt idx="3">
                  <c:v>2019.2014658203125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1-414F-84D1-F694F4D54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</a:t>
            </a:r>
            <a:r>
              <a:rPr lang="es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:</a:t>
            </a:r>
          </a:p>
          <a:p>
            <a:pPr>
              <a:defRPr/>
            </a:pPr>
            <a:r>
              <a:rPr lang="es-ES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Costo semanal por niño,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'Cuidado infantil familiar'!$F$63:$F$68</c:f>
              <c:strCache>
                <c:ptCount val="6"/>
                <c:pt idx="0">
                  <c:v>Infantes</c:v>
                </c:pt>
                <c:pt idx="1">
                  <c:v>Niños pequeños</c:v>
                </c:pt>
                <c:pt idx="2">
                  <c:v>2 años de edad</c:v>
                </c:pt>
                <c:pt idx="3">
                  <c:v>3 años de edad</c:v>
                </c:pt>
                <c:pt idx="4">
                  <c:v>4-5 años de edad</c:v>
                </c:pt>
                <c:pt idx="5">
                  <c:v>Edad escolar</c:v>
                </c:pt>
              </c:strCache>
            </c:strRef>
          </c:cat>
          <c:val>
            <c:numRef>
              <c:f>'Cuidado infantil familiar'!$I$63:$I$68</c:f>
              <c:numCache>
                <c:formatCode>"$"#,##0_);[Red]\("$"#,##0\)</c:formatCode>
                <c:ptCount val="6"/>
                <c:pt idx="0">
                  <c:v>465.96956903545674</c:v>
                </c:pt>
                <c:pt idx="1">
                  <c:v>465.96956903545674</c:v>
                </c:pt>
                <c:pt idx="2">
                  <c:v>465.96956903545674</c:v>
                </c:pt>
                <c:pt idx="3">
                  <c:v>465.96956903545674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4-C445-8875-D063310E9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494816"/>
        <c:axId val="401496544"/>
      </c:barChart>
      <c:catAx>
        <c:axId val="4014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6544"/>
        <c:crosses val="autoZero"/>
        <c:auto val="1"/>
        <c:lblAlgn val="ctr"/>
        <c:lblOffset val="100"/>
        <c:noMultiLvlLbl val="0"/>
      </c:catAx>
      <c:valAx>
        <c:axId val="40149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49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Nebraska: </a:t>
            </a:r>
          </a:p>
          <a:p>
            <a:pPr>
              <a:defRPr/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Desglose de ingresos,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DF-C341-B0AF-31EDB2F5A6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DF-C341-B0AF-31EDB2F5A6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DDF-C341-B0AF-31EDB2F5A6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DDF-C341-B0AF-31EDB2F5A662}"/>
              </c:ext>
            </c:extLst>
          </c:dPt>
          <c:dLbls>
            <c:dLbl>
              <c:idx val="0"/>
              <c:layout>
                <c:manualLayout>
                  <c:x val="0.13318271318545569"/>
                  <c:y val="1.318764545102047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304464818485723"/>
                      <c:h val="0.11618845659825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DDF-C341-B0AF-31EDB2F5A662}"/>
                </c:ext>
              </c:extLst>
            </c:dLbl>
            <c:dLbl>
              <c:idx val="1"/>
              <c:layout>
                <c:manualLayout>
                  <c:x val="0.18135443169552184"/>
                  <c:y val="-1.615733346425709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168366619928407"/>
                      <c:h val="0.11618845659825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DDF-C341-B0AF-31EDB2F5A662}"/>
                </c:ext>
              </c:extLst>
            </c:dLbl>
            <c:dLbl>
              <c:idx val="2"/>
              <c:layout>
                <c:manualLayout>
                  <c:x val="-0.14378164404662719"/>
                  <c:y val="0.1647521979241092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7253092194294956"/>
                      <c:h val="0.182018802708958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DDF-C341-B0AF-31EDB2F5A662}"/>
                </c:ext>
              </c:extLst>
            </c:dLbl>
            <c:dLbl>
              <c:idx val="3"/>
              <c:layout>
                <c:manualLayout>
                  <c:x val="5.3162701538624471E-2"/>
                  <c:y val="4.051107956522110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5696693334968706"/>
                      <c:h val="0.11618845659825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DDF-C341-B0AF-31EDB2F5A6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'Cuidado infantil familiar'!$G$181:$G$184</c:f>
              <c:strCache>
                <c:ptCount val="4"/>
                <c:pt idx="0">
                  <c:v>CACFP</c:v>
                </c:pt>
                <c:pt idx="1">
                  <c:v>Subsidio</c:v>
                </c:pt>
                <c:pt idx="2">
                  <c:v>Matrícula</c:v>
                </c:pt>
                <c:pt idx="3">
                  <c:v>Otro ingresos</c:v>
                </c:pt>
              </c:strCache>
            </c:strRef>
          </c:cat>
          <c:val>
            <c:numRef>
              <c:f>'Cuidado infantil familiar'!$H$181:$H$184</c:f>
              <c:numCache>
                <c:formatCode>_("$"* #,##0_);_("$"* \(#,##0\);_("$"* "-"??_);_(@_)</c:formatCode>
                <c:ptCount val="4"/>
                <c:pt idx="0">
                  <c:v>4992</c:v>
                </c:pt>
                <c:pt idx="1">
                  <c:v>38363</c:v>
                </c:pt>
                <c:pt idx="2">
                  <c:v>0</c:v>
                </c:pt>
                <c:pt idx="3">
                  <c:v>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DF-C341-B0AF-31EDB2F5A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Modelo de costos de cuidado infantil de Nebraska</a:t>
            </a: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: </a:t>
            </a:r>
          </a:p>
          <a:p>
            <a:pPr>
              <a:defRPr/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Desglose de gastos, cuidado infantil en el hogar</a:t>
            </a: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>
              <a:defRPr/>
            </a:pPr>
            <a:endParaRPr 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7D6-2A4C-8AAA-AF156A7EDF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7D6-2A4C-8AAA-AF156A7EDF4E}"/>
              </c:ext>
            </c:extLst>
          </c:dPt>
          <c:dLbls>
            <c:dLbl>
              <c:idx val="0"/>
              <c:layout>
                <c:manualLayout>
                  <c:x val="2.7777777777777676E-2"/>
                  <c:y val="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Gastos
</a:t>
                    </a:r>
                    <a:fld id="{EAAAF68F-66D8-5B44-831E-A279281428B2}" type="VALUE">
                      <a:rPr lang="en-US" baseline="0"/>
                      <a:pPr/>
                      <a:t>[]</a:t>
                    </a:fld>
                    <a:r>
                      <a:rPr lang="en-US" baseline="0"/>
                      <a:t>
</a:t>
                    </a:r>
                    <a:fld id="{9E4B8F47-FF7F-EA44-9362-7C958BC52B8A}" type="PERCENTAGE">
                      <a:rPr lang="en-US" baseline="0"/>
                      <a:pPr/>
                      <a:t>[]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A7D6-2A4C-8AAA-AF156A7EDF4E}"/>
                </c:ext>
              </c:extLst>
            </c:dLbl>
            <c:dLbl>
              <c:idx val="1"/>
              <c:layout>
                <c:manualLayout>
                  <c:x val="-7.310105408075708E-2"/>
                  <c:y val="-7.4879227053140124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Ingresos reales
</a:t>
                    </a:r>
                    <a:fld id="{19FF11D6-7B68-194A-9B46-E53F2FBD424E}" type="VALUE">
                      <a:rPr lang="en-US" baseline="0"/>
                      <a:pPr/>
                      <a:t>[]</a:t>
                    </a:fld>
                    <a:r>
                      <a:rPr lang="en-US" baseline="0"/>
                      <a:t>
</a:t>
                    </a:r>
                    <a:fld id="{6D172C69-7C08-2B40-9B0A-F8FE7B21EE0D}" type="PERCENTAGE">
                      <a:rPr lang="en-US" baseline="0"/>
                      <a:pPr/>
                      <a:t>[]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7D6-2A4C-8AAA-AF156A7EDF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'Cuidado infantil familiar'!$G$188:$H$188</c:f>
              <c:strCache>
                <c:ptCount val="2"/>
                <c:pt idx="0">
                  <c:v>Gastos</c:v>
                </c:pt>
                <c:pt idx="1">
                  <c:v>Ingresos</c:v>
                </c:pt>
              </c:strCache>
            </c:strRef>
          </c:cat>
          <c:val>
            <c:numRef>
              <c:f>'Cuidado infantil familiar'!$G$189:$H$189</c:f>
              <c:numCache>
                <c:formatCode>_("$"* #,##0_);_("$"* \(#,##0\);_("$"* "-"??_);_(@_)</c:formatCode>
                <c:ptCount val="2"/>
                <c:pt idx="0">
                  <c:v>96921.670359374999</c:v>
                </c:pt>
                <c:pt idx="1">
                  <c:v>65363.504999999997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6-2A4C-8AAA-AF156A7ED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image" Target="../media/image2.png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690513</xdr:colOff>
      <xdr:row>0</xdr:row>
      <xdr:rowOff>134196</xdr:rowOff>
    </xdr:from>
    <xdr:to>
      <xdr:col>10</xdr:col>
      <xdr:colOff>653130</xdr:colOff>
      <xdr:row>7</xdr:row>
      <xdr:rowOff>117603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38378A-E5C2-6240-BB0C-FF102FE6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980" y="134196"/>
          <a:ext cx="1063284" cy="1256012"/>
        </a:xfrm>
        <a:prstGeom prst="rect">
          <a:avLst/>
        </a:prstGeom>
      </xdr:spPr>
    </xdr:pic>
    <xdr:clientData/>
  </xdr:twoCellAnchor>
  <xdr:twoCellAnchor>
    <xdr:from>
      <xdr:col>0</xdr:col>
      <xdr:colOff>138546</xdr:colOff>
      <xdr:row>99</xdr:row>
      <xdr:rowOff>117763</xdr:rowOff>
    </xdr:from>
    <xdr:to>
      <xdr:col>4</xdr:col>
      <xdr:colOff>309419</xdr:colOff>
      <xdr:row>119</xdr:row>
      <xdr:rowOff>85436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0942E0-C432-EA00-0153-AB23BBE6F7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150090</xdr:colOff>
      <xdr:row>120</xdr:row>
      <xdr:rowOff>106219</xdr:rowOff>
    </xdr:from>
    <xdr:to>
      <xdr:col>6</xdr:col>
      <xdr:colOff>750454</xdr:colOff>
      <xdr:row>146</xdr:row>
      <xdr:rowOff>18473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BC228D7-E8B4-09D9-3484-08426B07C8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1004452</xdr:colOff>
      <xdr:row>120</xdr:row>
      <xdr:rowOff>94671</xdr:rowOff>
    </xdr:from>
    <xdr:to>
      <xdr:col>15</xdr:col>
      <xdr:colOff>547252</xdr:colOff>
      <xdr:row>146</xdr:row>
      <xdr:rowOff>6925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77D25BD-616C-8BAF-F8A2-CA99B54C83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202044</xdr:colOff>
      <xdr:row>150</xdr:row>
      <xdr:rowOff>58882</xdr:rowOff>
    </xdr:from>
    <xdr:to>
      <xdr:col>15</xdr:col>
      <xdr:colOff>359833</xdr:colOff>
      <xdr:row>179</xdr:row>
      <xdr:rowOff>114299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5FDCE3B-6A8B-EBEE-0F25-DC72BE5891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90056</xdr:colOff>
      <xdr:row>181</xdr:row>
      <xdr:rowOff>30014</xdr:rowOff>
    </xdr:from>
    <xdr:to>
      <xdr:col>4</xdr:col>
      <xdr:colOff>412173</xdr:colOff>
      <xdr:row>205</xdr:row>
      <xdr:rowOff>177565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95FC239-29C1-AC2F-8349-42E0BF4EFE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408709</xdr:colOff>
      <xdr:row>181</xdr:row>
      <xdr:rowOff>18474</xdr:rowOff>
    </xdr:from>
    <xdr:to>
      <xdr:col>15</xdr:col>
      <xdr:colOff>441960</xdr:colOff>
      <xdr:row>205</xdr:row>
      <xdr:rowOff>166025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2414650-E19C-DACA-A698-8081D6BCEB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438728</xdr:colOff>
      <xdr:row>99</xdr:row>
      <xdr:rowOff>115453</xdr:rowOff>
    </xdr:from>
    <xdr:to>
      <xdr:col>9</xdr:col>
      <xdr:colOff>124691</xdr:colOff>
      <xdr:row>119</xdr:row>
      <xdr:rowOff>83126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F00D0CE-8B8E-2E43-BAF4-6DA0CC2A3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277090</xdr:colOff>
      <xdr:row>99</xdr:row>
      <xdr:rowOff>115453</xdr:rowOff>
    </xdr:from>
    <xdr:to>
      <xdr:col>15</xdr:col>
      <xdr:colOff>632690</xdr:colOff>
      <xdr:row>119</xdr:row>
      <xdr:rowOff>83126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69BB0AD-AF59-BF4D-9D17-237EFE431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626406</xdr:colOff>
      <xdr:row>181</xdr:row>
      <xdr:rowOff>17314</xdr:rowOff>
    </xdr:from>
    <xdr:to>
      <xdr:col>9</xdr:col>
      <xdr:colOff>220929</xdr:colOff>
      <xdr:row>205</xdr:row>
      <xdr:rowOff>164865</xdr:rowOff>
    </xdr:to>
    <xdr:graphicFrame macro="">
      <xdr:nvGraphicFramePr>
        <xdr:cNvPr id="9" name="Chart 13">
          <a:extLst>
            <a:ext uri="{FF2B5EF4-FFF2-40B4-BE49-F238E27FC236}">
              <a16:creationId xmlns:a16="http://schemas.microsoft.com/office/drawing/2014/main" id="{09F51709-CAEB-5C0F-E5C2-78C392295B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1135083</xdr:colOff>
      <xdr:row>0</xdr:row>
      <xdr:rowOff>25400</xdr:rowOff>
    </xdr:from>
    <xdr:to>
      <xdr:col>10</xdr:col>
      <xdr:colOff>6234</xdr:colOff>
      <xdr:row>8</xdr:row>
      <xdr:rowOff>47450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88893A-7D56-1048-97AC-C738F285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6183" y="25400"/>
          <a:ext cx="1106351" cy="1449530"/>
        </a:xfrm>
        <a:prstGeom prst="rect">
          <a:avLst/>
        </a:prstGeom>
      </xdr:spPr>
    </xdr:pic>
    <xdr:clientData/>
  </xdr:twoCellAnchor>
  <xdr:twoCellAnchor>
    <xdr:from>
      <xdr:col>0</xdr:col>
      <xdr:colOff>138546</xdr:colOff>
      <xdr:row>95</xdr:row>
      <xdr:rowOff>117763</xdr:rowOff>
    </xdr:from>
    <xdr:to>
      <xdr:col>4</xdr:col>
      <xdr:colOff>309419</xdr:colOff>
      <xdr:row>115</xdr:row>
      <xdr:rowOff>85436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7CF2F8-684E-F341-AB86-2DF79056B9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150090</xdr:colOff>
      <xdr:row>116</xdr:row>
      <xdr:rowOff>106219</xdr:rowOff>
    </xdr:from>
    <xdr:to>
      <xdr:col>6</xdr:col>
      <xdr:colOff>750454</xdr:colOff>
      <xdr:row>142</xdr:row>
      <xdr:rowOff>18473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905F539-1CE7-8E49-876C-E7CAFCF1D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1004452</xdr:colOff>
      <xdr:row>116</xdr:row>
      <xdr:rowOff>94671</xdr:rowOff>
    </xdr:from>
    <xdr:to>
      <xdr:col>15</xdr:col>
      <xdr:colOff>547252</xdr:colOff>
      <xdr:row>142</xdr:row>
      <xdr:rowOff>6925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3E5C785-8C3A-B44B-B340-E22C6E85F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182801</xdr:colOff>
      <xdr:row>146</xdr:row>
      <xdr:rowOff>123537</xdr:rowOff>
    </xdr:from>
    <xdr:to>
      <xdr:col>14</xdr:col>
      <xdr:colOff>332894</xdr:colOff>
      <xdr:row>175</xdr:row>
      <xdr:rowOff>5774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A8E1A26-0217-A048-9BA7-4F4D7A33E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1675535</xdr:colOff>
      <xdr:row>176</xdr:row>
      <xdr:rowOff>52057</xdr:rowOff>
    </xdr:from>
    <xdr:to>
      <xdr:col>16</xdr:col>
      <xdr:colOff>31271</xdr:colOff>
      <xdr:row>200</xdr:row>
      <xdr:rowOff>102855</xdr:rowOff>
    </xdr:to>
    <xdr:graphicFrame macro="">
      <xdr:nvGraphicFramePr>
        <xdr:cNvPr id="17" name="Chart 7">
          <a:extLst>
            <a:ext uri="{FF2B5EF4-FFF2-40B4-BE49-F238E27FC236}">
              <a16:creationId xmlns:a16="http://schemas.microsoft.com/office/drawing/2014/main" id="{0E1CB67C-69C8-1043-91FA-1EA44CF1AD2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438728</xdr:colOff>
      <xdr:row>95</xdr:row>
      <xdr:rowOff>115453</xdr:rowOff>
    </xdr:from>
    <xdr:to>
      <xdr:col>9</xdr:col>
      <xdr:colOff>124691</xdr:colOff>
      <xdr:row>115</xdr:row>
      <xdr:rowOff>83126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2F3CC8A-7EA0-F940-9890-572DD28A8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277090</xdr:colOff>
      <xdr:row>95</xdr:row>
      <xdr:rowOff>115453</xdr:rowOff>
    </xdr:from>
    <xdr:to>
      <xdr:col>15</xdr:col>
      <xdr:colOff>632690</xdr:colOff>
      <xdr:row>115</xdr:row>
      <xdr:rowOff>83126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781D16A-6ED5-6744-8D05-153980523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1123104</xdr:colOff>
      <xdr:row>176</xdr:row>
      <xdr:rowOff>73140</xdr:rowOff>
    </xdr:from>
    <xdr:to>
      <xdr:col>8</xdr:col>
      <xdr:colOff>1425787</xdr:colOff>
      <xdr:row>200</xdr:row>
      <xdr:rowOff>125800</xdr:rowOff>
    </xdr:to>
    <xdr:graphicFrame macro="">
      <xdr:nvGraphicFramePr>
        <xdr:cNvPr id="16" name="Chart 10">
          <a:extLst>
            <a:ext uri="{FF2B5EF4-FFF2-40B4-BE49-F238E27FC236}">
              <a16:creationId xmlns:a16="http://schemas.microsoft.com/office/drawing/2014/main" id="{76E1F5FC-8932-134A-98B2-B8B9263D6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19724</xdr:colOff>
      <xdr:row>176</xdr:row>
      <xdr:rowOff>90825</xdr:rowOff>
    </xdr:from>
    <xdr:to>
      <xdr:col>4</xdr:col>
      <xdr:colOff>903529</xdr:colOff>
      <xdr:row>200</xdr:row>
      <xdr:rowOff>141624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F29BE36-091B-5D15-FAA1-C88CCF9794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0.62817</cdr:x>
      <cdr:y>0.36279</cdr:y>
    </cdr:from>
    <cdr:to>
      <cdr:x>0.86317</cdr:x>
      <cdr:y>0.51969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A86DE0E-F82D-1694-A02F-6B7BD5ECB5EE}"/>
            </a:ext>
          </a:extLst>
        </cdr:cNvPr>
        <cdr:cNvSpPr txBox="1"/>
      </cdr:nvSpPr>
      <cdr:spPr>
        <a:xfrm xmlns:a="http://schemas.openxmlformats.org/drawingml/2006/main">
          <a:off x="3706090" y="1492827"/>
          <a:ext cx="1386416" cy="645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P5FiscalStrategies/Shared%20Documents/Delaware/Delaware%20Child%20Care%20Mode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terforamericanprogress-my.sharepoint.com/Users/sworkman/OneDrive%20-%20Center%20For%20American%20Progress/Copy%20of%20SF_RE_Model_Centerbased_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nterforamericanprogress-my.sharepoint.com/C:/Users/Owner/Desktop/SF_Center_RE_Model_2016%20sample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5fiscal.sharepoint.com/Shared%20Documents/Washington/Cost%20of%20Care%20Study%202022/Cost%20model/Final%20Cost%20Model%20Files%20-%20DO%20NOT%20DELETE/Full%20cost%20models/Washington%20Home-based%20Child%20Care%20Model%202022.xlsx" TargetMode="External"/><Relationship Id="rId1" Type="http://schemas.openxmlformats.org/officeDocument/2006/relationships/externalLinkPath" Target="/Shared%20Documents/Washington/Cost%20of%20Care%20Study%202022/Cost%20model/Final%20Cost%20Model%20Files%20-%20DO%20NOT%20DELETE/Full%20cost%20models/Washington%20Home-based%20Child%20Care%20Model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lesINPUT-CTR"/>
      <sheetName val="Quality Center Profile"/>
      <sheetName val="QualVar"/>
      <sheetName val="Wages"/>
      <sheetName val="Ratios"/>
      <sheetName val="Nonpersonnel PCQC"/>
      <sheetName val="Subsidy Rates"/>
      <sheetName val="Tuition Rates"/>
      <sheetName val="Fed CACFP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lity Center Profile"/>
      <sheetName val="VariablesINPUT-CTR"/>
      <sheetName val="Child Finance Charts"/>
      <sheetName val="Wages BLS"/>
      <sheetName val="Nonpersonnel Aggregated"/>
      <sheetName val="Nonpersonnel from interviews"/>
      <sheetName val="Tuition Rates&amp;SMI"/>
      <sheetName val="C- Wages"/>
      <sheetName val="PFA"/>
      <sheetName val="City Child Care"/>
      <sheetName val="ACCESS"/>
      <sheetName val="FCS"/>
      <sheetName val="State Vouchers"/>
      <sheetName val="State Contracts"/>
      <sheetName val="Fed CACFP"/>
      <sheetName val="Fed EHS HS"/>
      <sheetName val="Revenue-NOT USED"/>
      <sheetName val="FamilyIncome&amp;HomePrices"/>
      <sheetName val="ECERS Cost by Level"/>
      <sheetName val="Apdx C - Center Baseline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lesINPUT-CTR"/>
      <sheetName val="Quality Center Profile"/>
      <sheetName val="Child Finance Charts"/>
      <sheetName val="Wages BLS"/>
      <sheetName val="Nonpersonnel Aggregated"/>
      <sheetName val="Nonpersonnel from interviews"/>
      <sheetName val="Tuition Rates&amp;SMI"/>
      <sheetName val="FCS"/>
      <sheetName val="State Vouchers"/>
      <sheetName val="State Contracts"/>
      <sheetName val="Fed CACFP"/>
      <sheetName val="Fed EHS HS"/>
      <sheetName val="FamilyIncome&amp;HomePrices"/>
      <sheetName val="ECERS Cost by Lev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riablesINPUT-FCC"/>
      <sheetName val="Quality Home Profile"/>
      <sheetName val="QualVar"/>
      <sheetName val="Nonpersonnel PCQC"/>
      <sheetName val="Wages"/>
      <sheetName val="State Subsidy"/>
      <sheetName val="Seattle Rev "/>
      <sheetName val="Tuition"/>
      <sheetName val="Fed CACFP"/>
    </sheetNames>
    <sheetDataSet>
      <sheetData sheetId="0">
        <row r="67">
          <cell r="B67" t="str">
            <v>Benefits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hhs.ne.gov/Child%20Care%20Documents/Subsidy-Rate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dhhs.ne.gov/Child%20Care%20Market%20Rate%20Surveys/2023%20Market%20Rate%20Survey%20Report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govinfo.gov/content/pkg/FR-2023-07-07/pdf/2023-14317.pdf" TargetMode="External"/><Relationship Id="rId1" Type="http://schemas.openxmlformats.org/officeDocument/2006/relationships/hyperlink" Target="https://www.federalregister.gov/documents/2021/07/07/2021-14435/child-and-adult-care-food-program-national-average-payment-rates-day-care-home-food-service-pay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</sheetPr>
  <dimension ref="A1:AM368"/>
  <sheetViews>
    <sheetView topLeftCell="B161" workbookViewId="0">
      <selection activeCell="C154" sqref="C154"/>
    </sheetView>
  </sheetViews>
  <sheetFormatPr defaultColWidth="8.85546875" defaultRowHeight="12.95"/>
  <cols>
    <col min="1" max="1" width="3.140625" customWidth="1"/>
    <col min="2" max="2" width="34.85546875" customWidth="1"/>
    <col min="3" max="3" width="22.42578125" customWidth="1"/>
    <col min="4" max="4" width="24" customWidth="1"/>
    <col min="5" max="5" width="17.85546875" customWidth="1"/>
    <col min="6" max="6" width="21" customWidth="1"/>
    <col min="7" max="7" width="18.140625" customWidth="1"/>
    <col min="8" max="8" width="17.140625" customWidth="1"/>
    <col min="9" max="9" width="15" customWidth="1"/>
    <col min="10" max="10" width="14.28515625" bestFit="1" customWidth="1"/>
    <col min="11" max="11" width="14.140625" customWidth="1"/>
    <col min="12" max="12" width="19" style="114" customWidth="1"/>
    <col min="13" max="13" width="20.42578125" style="114" customWidth="1"/>
    <col min="14" max="14" width="21.28515625" style="114" customWidth="1"/>
    <col min="15" max="15" width="8.85546875" style="114" customWidth="1"/>
    <col min="16" max="17" width="8.85546875" style="98" customWidth="1"/>
    <col min="18" max="18" width="17.28515625" style="98" customWidth="1"/>
    <col min="19" max="19" width="18.28515625" style="98" customWidth="1"/>
    <col min="20" max="39" width="8.85546875" style="98"/>
  </cols>
  <sheetData>
    <row r="1" spans="1:16" ht="17.100000000000001" customHeight="1">
      <c r="A1" s="108"/>
      <c r="B1" s="381" t="s">
        <v>0</v>
      </c>
      <c r="C1" s="109"/>
      <c r="D1" s="109"/>
      <c r="E1" s="110"/>
      <c r="F1" s="110"/>
      <c r="G1" s="151"/>
      <c r="H1" s="111" t="s">
        <v>1</v>
      </c>
      <c r="I1" s="114" t="s">
        <v>2</v>
      </c>
      <c r="J1" s="114" t="s">
        <v>3</v>
      </c>
      <c r="K1" s="112" t="s">
        <v>4</v>
      </c>
    </row>
    <row r="2" spans="1:16" ht="8.1" customHeight="1">
      <c r="A2" s="113"/>
      <c r="B2" s="361"/>
      <c r="C2" s="98"/>
      <c r="D2" s="98"/>
      <c r="E2" s="98"/>
      <c r="F2" s="382"/>
      <c r="G2" s="152"/>
      <c r="H2" s="114" t="s">
        <v>5</v>
      </c>
      <c r="I2" s="114" t="s">
        <v>6</v>
      </c>
      <c r="J2" s="114"/>
      <c r="K2" s="115" t="s">
        <v>7</v>
      </c>
      <c r="L2" s="114" t="s">
        <v>8</v>
      </c>
    </row>
    <row r="3" spans="1:16" ht="14.1">
      <c r="A3" s="126"/>
      <c r="B3" s="362" t="s">
        <v>9</v>
      </c>
      <c r="C3" s="99"/>
      <c r="D3" s="99"/>
      <c r="E3" s="99"/>
      <c r="F3" s="99"/>
      <c r="G3" s="99"/>
      <c r="H3" s="114"/>
      <c r="I3" s="114"/>
      <c r="J3" s="114"/>
      <c r="K3" s="115"/>
    </row>
    <row r="4" spans="1:16" ht="14.1">
      <c r="A4" s="132"/>
      <c r="B4" s="362" t="s">
        <v>10</v>
      </c>
      <c r="C4" s="99"/>
      <c r="D4" s="99"/>
      <c r="E4" s="99"/>
      <c r="F4" s="99"/>
      <c r="G4" s="99"/>
      <c r="H4" s="114"/>
      <c r="I4" s="114"/>
      <c r="J4" s="114"/>
      <c r="K4" s="115"/>
    </row>
    <row r="5" spans="1:16" ht="15" customHeight="1">
      <c r="A5" s="113"/>
      <c r="B5" s="361"/>
      <c r="C5" s="98"/>
      <c r="D5" s="98"/>
      <c r="E5" s="98"/>
      <c r="F5" s="382"/>
      <c r="G5" s="98"/>
      <c r="H5" s="114" t="s">
        <v>5</v>
      </c>
      <c r="I5" s="114" t="s">
        <v>11</v>
      </c>
      <c r="J5" s="114"/>
      <c r="K5" s="115"/>
    </row>
    <row r="6" spans="1:16" ht="15" customHeight="1">
      <c r="A6" s="113"/>
      <c r="B6" s="363" t="s">
        <v>12</v>
      </c>
      <c r="C6" s="354" t="s">
        <v>13</v>
      </c>
      <c r="D6" s="378" t="s">
        <v>14</v>
      </c>
      <c r="E6" s="114" t="s">
        <v>15</v>
      </c>
      <c r="F6" s="114" t="s">
        <v>16</v>
      </c>
      <c r="G6" s="114" t="s">
        <v>13</v>
      </c>
      <c r="H6" s="114"/>
      <c r="I6" s="114"/>
      <c r="J6" s="114"/>
      <c r="K6" s="115"/>
      <c r="P6" s="114"/>
    </row>
    <row r="7" spans="1:16" ht="17.100000000000001" customHeight="1">
      <c r="A7" s="113"/>
      <c r="B7" s="361"/>
      <c r="C7" s="98"/>
      <c r="D7" s="98"/>
      <c r="E7" s="98"/>
      <c r="F7" s="382"/>
      <c r="G7" s="98"/>
      <c r="H7" s="114"/>
      <c r="I7" s="114"/>
      <c r="J7" s="114"/>
      <c r="K7" s="115"/>
    </row>
    <row r="8" spans="1:16">
      <c r="A8" s="113"/>
      <c r="B8" s="363" t="s">
        <v>17</v>
      </c>
      <c r="C8" s="364"/>
      <c r="D8" s="364"/>
      <c r="E8" s="98"/>
      <c r="F8" s="98"/>
      <c r="G8" s="98"/>
      <c r="H8" s="114"/>
      <c r="I8" s="116"/>
      <c r="J8" s="114"/>
      <c r="K8" s="117"/>
      <c r="L8" s="116"/>
      <c r="M8" s="338"/>
    </row>
    <row r="9" spans="1:16">
      <c r="A9" s="113"/>
      <c r="B9" s="1" t="s">
        <v>18</v>
      </c>
      <c r="C9" s="765" t="s">
        <v>1</v>
      </c>
      <c r="D9" s="378" t="s">
        <v>14</v>
      </c>
      <c r="E9" s="98"/>
      <c r="F9" s="98"/>
      <c r="G9" s="98"/>
      <c r="H9" s="114"/>
      <c r="I9" s="116"/>
      <c r="J9" s="114"/>
      <c r="K9" s="117"/>
      <c r="L9" s="116"/>
      <c r="M9" s="338"/>
    </row>
    <row r="10" spans="1:16">
      <c r="A10" s="113"/>
      <c r="B10" s="361"/>
      <c r="C10" s="764"/>
      <c r="D10" s="98"/>
      <c r="E10" s="98"/>
      <c r="F10" s="98"/>
      <c r="G10" s="98"/>
      <c r="H10" s="114"/>
      <c r="I10" s="116"/>
      <c r="J10" s="114"/>
      <c r="K10" s="117"/>
      <c r="L10" s="116"/>
      <c r="M10" s="338"/>
    </row>
    <row r="11" spans="1:16" ht="42">
      <c r="A11" s="113"/>
      <c r="B11" s="101" t="s">
        <v>19</v>
      </c>
      <c r="C11" s="794" t="s">
        <v>20</v>
      </c>
      <c r="D11" s="102" t="s">
        <v>21</v>
      </c>
      <c r="E11" s="103" t="s">
        <v>22</v>
      </c>
      <c r="F11" s="134" t="s">
        <v>23</v>
      </c>
      <c r="G11" s="378"/>
      <c r="H11" s="725" t="s">
        <v>24</v>
      </c>
      <c r="I11" s="725" t="s">
        <v>25</v>
      </c>
      <c r="J11" s="114"/>
      <c r="K11" s="118"/>
      <c r="L11" s="116"/>
    </row>
    <row r="12" spans="1:16" ht="15.95" customHeight="1">
      <c r="A12" s="113"/>
      <c r="B12" s="365" t="str">
        <f>Ratios!A3</f>
        <v>Infantes</v>
      </c>
      <c r="C12" s="100">
        <v>1</v>
      </c>
      <c r="D12" s="383">
        <f>IF(C$9=H$1,Ratios!B3,IF(C$9=I$1,Ratios!C3,IF(C$9=J$1,Ratios!D3,H12)))</f>
        <v>4</v>
      </c>
      <c r="E12" s="383">
        <f>IF(C$9=H$1,Ratios!B11,IF(C$9=I$1,Ratios!C11,IF(C$9=J$1,Ratios!D11,I12)))</f>
        <v>12</v>
      </c>
      <c r="F12" s="724">
        <f>C12*E12</f>
        <v>12</v>
      </c>
      <c r="G12" s="869" t="s">
        <v>26</v>
      </c>
      <c r="H12" s="766"/>
      <c r="I12" s="766"/>
      <c r="J12" s="114" t="s">
        <v>3</v>
      </c>
      <c r="K12" s="115" t="s">
        <v>27</v>
      </c>
      <c r="L12" s="339"/>
      <c r="M12" s="339"/>
    </row>
    <row r="13" spans="1:16" ht="17.100000000000001" customHeight="1">
      <c r="A13" s="113"/>
      <c r="B13" s="365" t="str">
        <f>Ratios!A4</f>
        <v>Niños pequeños</v>
      </c>
      <c r="C13" s="74">
        <v>1</v>
      </c>
      <c r="D13" s="383">
        <f>IF(C$9=H$1,Ratios!B4,IF(C$9=I$1,Ratios!C4,IF(C$9=J$1,Ratios!D4,H13)))</f>
        <v>6</v>
      </c>
      <c r="E13" s="383">
        <f>IF(C$9=H$1,Ratios!B12,IF(C$9=I$1,Ratios!C12,IF(C$9=J$1,Ratios!D12,I13)))</f>
        <v>12</v>
      </c>
      <c r="F13" s="371">
        <f t="shared" ref="F13:F17" si="0">C13*E13</f>
        <v>12</v>
      </c>
      <c r="G13" s="869"/>
      <c r="H13" s="766"/>
      <c r="I13" s="766"/>
      <c r="J13" s="114"/>
      <c r="K13" s="115"/>
      <c r="L13" s="339"/>
      <c r="M13" s="339"/>
    </row>
    <row r="14" spans="1:16" ht="17.100000000000001" customHeight="1">
      <c r="A14" s="113"/>
      <c r="B14" s="365" t="str">
        <f>Ratios!A5</f>
        <v>2 años de edad</v>
      </c>
      <c r="C14" s="96">
        <v>1</v>
      </c>
      <c r="D14" s="383">
        <f>IF(C$9=H$1,Ratios!B5,IF(C$9=I$1,Ratios!C5,IF(C$9=J$1,Ratios!D5,H14)))</f>
        <v>6</v>
      </c>
      <c r="E14" s="383">
        <f>IF(C$9=H$1,Ratios!B13,IF(C$9=I$1,Ratios!C13,IF(C$9=J$1,Ratios!D13,I14)))</f>
        <v>12</v>
      </c>
      <c r="F14" s="371">
        <f t="shared" si="0"/>
        <v>12</v>
      </c>
      <c r="G14" s="869"/>
      <c r="H14" s="766"/>
      <c r="I14" s="766"/>
      <c r="J14" s="114"/>
      <c r="K14" s="115"/>
      <c r="L14" s="339"/>
      <c r="M14" s="339"/>
    </row>
    <row r="15" spans="1:16" ht="17.100000000000001" customHeight="1">
      <c r="A15" s="113"/>
      <c r="B15" s="365" t="str">
        <f>Ratios!A6</f>
        <v>3 años de edad</v>
      </c>
      <c r="C15" s="96">
        <v>1</v>
      </c>
      <c r="D15" s="383">
        <f>IF(C$9=H$1,Ratios!B6,IF(C$9=I$1,Ratios!C6,IF(C$9=J$1,Ratios!D6,H15)))</f>
        <v>10</v>
      </c>
      <c r="E15" s="383">
        <f>IF(C$9=H$1,Ratios!B14,IF(C$9=I$1,Ratios!C14,IF(C$9=J$1,Ratios!D14,I15)))</f>
        <v>20</v>
      </c>
      <c r="F15" s="371">
        <f t="shared" si="0"/>
        <v>20</v>
      </c>
      <c r="G15" s="869"/>
      <c r="H15" s="766"/>
      <c r="I15" s="766"/>
      <c r="J15" s="114"/>
      <c r="K15" s="115"/>
      <c r="L15" s="339"/>
      <c r="M15" s="339"/>
    </row>
    <row r="16" spans="1:16" ht="17.100000000000001" customHeight="1">
      <c r="A16" s="113"/>
      <c r="B16" s="365" t="str">
        <f>Ratios!A7</f>
        <v>4-5 años de edad</v>
      </c>
      <c r="C16" s="96">
        <v>0</v>
      </c>
      <c r="D16" s="383">
        <f>IF(C$9=H$1,Ratios!B7,IF(C$9=I$1,Ratios!C7,IF(C$9=J$1,Ratios!D7,H16)))</f>
        <v>12</v>
      </c>
      <c r="E16" s="383">
        <f>IF(C$9=H$1,Ratios!B15,IF(C$9=I$1,Ratios!C15,IF(C$9=J$1,Ratios!D15,I16)))</f>
        <v>24</v>
      </c>
      <c r="F16" s="371">
        <f t="shared" si="0"/>
        <v>0</v>
      </c>
      <c r="G16" s="98"/>
      <c r="H16" s="766"/>
      <c r="I16" s="766"/>
      <c r="J16" s="114"/>
      <c r="K16" s="115"/>
      <c r="L16" s="820"/>
      <c r="M16" s="820"/>
      <c r="N16" s="152"/>
    </row>
    <row r="17" spans="1:39" ht="15" customHeight="1">
      <c r="A17" s="113"/>
      <c r="B17" s="365" t="str">
        <f>Ratios!A8</f>
        <v>Edad escolar</v>
      </c>
      <c r="C17" s="97">
        <v>0</v>
      </c>
      <c r="D17" s="383">
        <f>IF(C$9=H$1,Ratios!B8,IF(C$9=I$1,Ratios!C8,IF(C$9=J$1,Ratios!D8,H17)))</f>
        <v>15</v>
      </c>
      <c r="E17" s="383">
        <f>IF(C$9=H$1,Ratios!B16,IF(C$9=I$1,Ratios!C16,IF(C$9=J$1,Ratios!D16,I17)))</f>
        <v>30</v>
      </c>
      <c r="F17" s="371">
        <f t="shared" si="0"/>
        <v>0</v>
      </c>
      <c r="G17" s="98"/>
      <c r="H17" s="766"/>
      <c r="I17" s="766"/>
      <c r="J17" s="98"/>
      <c r="K17" s="119"/>
      <c r="L17" s="821"/>
      <c r="M17" s="820"/>
      <c r="N17" s="152"/>
    </row>
    <row r="18" spans="1:39" ht="18.95" customHeight="1">
      <c r="A18" s="113"/>
      <c r="B18" s="270" t="s">
        <v>28</v>
      </c>
      <c r="C18" s="88">
        <f>SUM(C12:C17)</f>
        <v>4</v>
      </c>
      <c r="D18" s="29"/>
      <c r="E18" s="271" t="s">
        <v>29</v>
      </c>
      <c r="F18" s="88">
        <f>SUM(F12:F17)</f>
        <v>56</v>
      </c>
      <c r="G18" s="98"/>
      <c r="H18" s="98"/>
      <c r="I18" s="98"/>
      <c r="J18" s="98"/>
      <c r="K18" s="119"/>
      <c r="L18" s="822" t="s">
        <v>30</v>
      </c>
      <c r="M18" s="152"/>
      <c r="N18" s="152"/>
      <c r="P18" s="341"/>
      <c r="Q18" s="341"/>
      <c r="R18" s="152"/>
      <c r="S18" s="152"/>
    </row>
    <row r="19" spans="1:39" ht="18.95" customHeight="1">
      <c r="A19" s="113"/>
      <c r="B19" s="366"/>
      <c r="C19" s="367"/>
      <c r="E19" s="384"/>
      <c r="F19" s="367"/>
      <c r="G19" s="98"/>
      <c r="H19" s="98"/>
      <c r="I19" s="98"/>
      <c r="J19" s="98"/>
      <c r="K19" s="119"/>
      <c r="L19" s="819" t="s">
        <v>31</v>
      </c>
      <c r="M19" s="152"/>
      <c r="N19" s="152"/>
      <c r="P19" s="341"/>
      <c r="Q19" s="341"/>
      <c r="R19" s="152"/>
      <c r="S19" s="152"/>
    </row>
    <row r="20" spans="1:39" ht="14.1" thickBot="1">
      <c r="A20" s="113"/>
      <c r="B20" s="363" t="s">
        <v>32</v>
      </c>
      <c r="C20" s="368"/>
      <c r="D20" s="364"/>
      <c r="E20" s="361"/>
      <c r="F20" s="98"/>
      <c r="G20" s="361"/>
      <c r="H20" s="361"/>
      <c r="I20" s="98"/>
      <c r="J20" s="98"/>
      <c r="K20" s="298"/>
      <c r="L20" s="823" t="s">
        <v>33</v>
      </c>
      <c r="M20" s="152"/>
      <c r="N20" s="152"/>
      <c r="P20" s="341"/>
      <c r="Q20" s="341"/>
      <c r="R20" s="152"/>
      <c r="S20" s="152"/>
    </row>
    <row r="21" spans="1:39" ht="12.95" customHeight="1">
      <c r="A21" s="113"/>
      <c r="B21" s="369" t="s">
        <v>34</v>
      </c>
      <c r="C21" s="404" t="s">
        <v>31</v>
      </c>
      <c r="D21" s="803"/>
      <c r="E21" s="876" t="s">
        <v>35</v>
      </c>
      <c r="F21" s="877"/>
      <c r="G21" s="160" t="s">
        <v>36</v>
      </c>
      <c r="H21" s="161"/>
      <c r="I21" s="153"/>
      <c r="J21" s="98"/>
      <c r="K21" s="119"/>
      <c r="L21" s="823" t="s">
        <v>4</v>
      </c>
      <c r="M21" s="152"/>
      <c r="N21" s="152"/>
      <c r="P21" s="341"/>
      <c r="Q21" s="341"/>
      <c r="R21" s="152"/>
      <c r="S21" s="152"/>
    </row>
    <row r="22" spans="1:39">
      <c r="A22" s="113"/>
      <c r="B22" s="152"/>
      <c r="C22" s="266"/>
      <c r="D22" s="266"/>
      <c r="E22" s="876"/>
      <c r="F22" s="877"/>
      <c r="G22" s="154"/>
      <c r="H22" s="301" t="s">
        <v>37</v>
      </c>
      <c r="I22" s="155" t="s">
        <v>38</v>
      </c>
      <c r="J22" s="98"/>
      <c r="K22" s="119"/>
      <c r="L22" s="823"/>
      <c r="M22" s="152"/>
      <c r="N22" s="152"/>
      <c r="P22" s="341"/>
      <c r="Q22" s="341"/>
      <c r="R22" s="152"/>
      <c r="S22" s="152"/>
    </row>
    <row r="23" spans="1:39">
      <c r="A23" s="113"/>
      <c r="B23" s="152"/>
      <c r="D23" s="266"/>
      <c r="E23" s="266"/>
      <c r="F23" s="266"/>
      <c r="G23" s="156"/>
      <c r="H23" s="157" t="s">
        <v>39</v>
      </c>
      <c r="I23" s="350">
        <v>50000</v>
      </c>
      <c r="J23" s="98"/>
      <c r="K23" s="119"/>
      <c r="L23" s="152"/>
      <c r="M23" s="152"/>
      <c r="N23" s="152"/>
      <c r="P23" s="341"/>
      <c r="Q23" s="341"/>
      <c r="R23" s="152"/>
      <c r="S23" s="152"/>
    </row>
    <row r="24" spans="1:39">
      <c r="A24" s="113"/>
      <c r="B24" s="99"/>
      <c r="C24" s="99"/>
      <c r="D24" s="98"/>
      <c r="E24" s="382"/>
      <c r="F24" s="98"/>
      <c r="G24" s="154"/>
      <c r="H24" s="158" t="s">
        <v>40</v>
      </c>
      <c r="I24" s="351">
        <v>40000</v>
      </c>
      <c r="J24" s="98"/>
      <c r="K24" s="119"/>
      <c r="L24" s="152"/>
      <c r="M24" s="152"/>
      <c r="N24" s="152"/>
      <c r="P24" s="341"/>
      <c r="Q24" s="341"/>
      <c r="R24" s="152"/>
      <c r="S24" s="152"/>
    </row>
    <row r="25" spans="1:39" ht="17.100000000000001" customHeight="1" thickBot="1">
      <c r="A25" s="113"/>
      <c r="B25" s="370" t="s">
        <v>41</v>
      </c>
      <c r="C25" s="370"/>
      <c r="D25" s="370"/>
      <c r="E25" s="382"/>
      <c r="F25" s="98"/>
      <c r="G25" s="302"/>
      <c r="H25" s="159" t="s">
        <v>42</v>
      </c>
      <c r="I25" s="352">
        <v>100000</v>
      </c>
      <c r="J25" s="98"/>
      <c r="K25" s="119"/>
      <c r="L25" s="152"/>
      <c r="M25" s="152"/>
      <c r="N25" s="152"/>
      <c r="P25" s="341"/>
      <c r="Q25" s="341"/>
      <c r="R25" s="344"/>
      <c r="S25" s="152"/>
    </row>
    <row r="26" spans="1:39" ht="18" customHeight="1">
      <c r="A26" s="113"/>
      <c r="B26" s="92" t="s">
        <v>43</v>
      </c>
      <c r="C26" s="97" t="s">
        <v>44</v>
      </c>
      <c r="D26" s="196" t="s">
        <v>45</v>
      </c>
      <c r="F26" s="377"/>
      <c r="G26" s="377"/>
      <c r="H26" s="377"/>
      <c r="I26" s="385"/>
      <c r="J26" s="385"/>
      <c r="K26" s="119"/>
      <c r="L26" s="152" t="s">
        <v>44</v>
      </c>
      <c r="M26" s="152" t="s">
        <v>46</v>
      </c>
      <c r="N26" s="152"/>
      <c r="O26" s="813"/>
      <c r="P26" s="813"/>
      <c r="Q26" s="813"/>
      <c r="R26" s="152"/>
      <c r="S26" s="152"/>
    </row>
    <row r="27" spans="1:39" ht="18" customHeight="1">
      <c r="A27" s="113"/>
      <c r="B27" s="93" t="s">
        <v>47</v>
      </c>
      <c r="C27" s="349">
        <v>0.03</v>
      </c>
      <c r="D27" s="196" t="s">
        <v>48</v>
      </c>
      <c r="F27" s="377"/>
      <c r="G27" s="377"/>
      <c r="H27" s="377"/>
      <c r="I27" s="377"/>
      <c r="J27" s="377"/>
      <c r="K27" s="119"/>
      <c r="L27" s="152"/>
      <c r="M27" s="152"/>
      <c r="N27" s="152"/>
      <c r="O27" s="813"/>
      <c r="P27" s="813"/>
      <c r="Q27" s="813"/>
      <c r="R27" s="345"/>
      <c r="S27" s="152"/>
    </row>
    <row r="28" spans="1:39" ht="17.100000000000001" customHeight="1">
      <c r="A28" s="113"/>
      <c r="B28" s="93" t="s">
        <v>49</v>
      </c>
      <c r="C28" s="817">
        <v>10</v>
      </c>
      <c r="D28" s="196" t="s">
        <v>50</v>
      </c>
      <c r="F28" s="377"/>
      <c r="G28" s="377"/>
      <c r="H28" s="98"/>
      <c r="I28" s="98"/>
      <c r="J28" s="98"/>
      <c r="K28" s="119"/>
      <c r="L28" s="152"/>
      <c r="M28" s="152"/>
      <c r="N28" s="152"/>
      <c r="O28" s="813"/>
      <c r="P28" s="813"/>
      <c r="Q28" s="813"/>
      <c r="R28" s="344"/>
      <c r="S28" s="344"/>
    </row>
    <row r="29" spans="1:39" ht="17.100000000000001" customHeight="1">
      <c r="A29" s="113"/>
      <c r="B29" s="94" t="s">
        <v>51</v>
      </c>
      <c r="C29" s="817">
        <v>10</v>
      </c>
      <c r="D29" s="125" t="s">
        <v>52</v>
      </c>
      <c r="F29" s="98"/>
      <c r="G29" s="98"/>
      <c r="H29" s="99"/>
      <c r="I29" s="98"/>
      <c r="J29" s="98"/>
      <c r="K29" s="119"/>
      <c r="L29" s="152"/>
      <c r="M29" s="152"/>
      <c r="N29" s="152"/>
      <c r="O29" s="813"/>
      <c r="P29" s="813"/>
      <c r="Q29" s="813"/>
      <c r="R29" s="341"/>
    </row>
    <row r="30" spans="1:39" ht="17.100000000000001" customHeight="1">
      <c r="A30" s="113"/>
      <c r="B30" s="19"/>
      <c r="C30" s="371"/>
      <c r="D30" s="378"/>
      <c r="F30" s="98"/>
      <c r="G30" s="98"/>
      <c r="H30" s="99"/>
      <c r="I30" s="98"/>
      <c r="J30" s="98"/>
      <c r="K30" s="119"/>
      <c r="L30" s="152"/>
      <c r="M30" s="152"/>
      <c r="N30" s="152"/>
      <c r="O30" s="813"/>
      <c r="P30" s="813"/>
      <c r="Q30" s="813"/>
      <c r="R30" s="341"/>
    </row>
    <row r="31" spans="1:39" s="18" customFormat="1">
      <c r="A31" s="120"/>
      <c r="B31" s="372" t="s">
        <v>53</v>
      </c>
      <c r="C31" s="373"/>
      <c r="D31" s="386"/>
      <c r="E31" s="114"/>
      <c r="F31" s="105"/>
      <c r="G31" s="99"/>
      <c r="H31" s="99"/>
      <c r="I31" s="99"/>
      <c r="J31" s="99"/>
      <c r="K31" s="121"/>
      <c r="L31" s="152"/>
      <c r="M31" s="152"/>
      <c r="N31" s="152"/>
      <c r="O31" s="114"/>
      <c r="P31" s="114"/>
      <c r="Q31" s="813"/>
      <c r="R31" s="341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</row>
    <row r="32" spans="1:39" ht="17.100000000000001" customHeight="1">
      <c r="A32" s="113"/>
      <c r="B32" s="861"/>
      <c r="C32" s="862"/>
      <c r="D32" s="872" t="s">
        <v>54</v>
      </c>
      <c r="E32" s="873"/>
      <c r="F32" s="104"/>
      <c r="G32" s="98"/>
      <c r="H32" s="98"/>
      <c r="I32" s="98"/>
      <c r="J32" s="98"/>
      <c r="K32" s="119"/>
      <c r="L32" s="342"/>
      <c r="P32" s="114"/>
      <c r="Q32" s="813"/>
      <c r="R32" s="341"/>
    </row>
    <row r="33" spans="1:39" ht="17.100000000000001" customHeight="1">
      <c r="A33" s="113"/>
      <c r="B33" s="859" t="s">
        <v>55</v>
      </c>
      <c r="C33" s="860"/>
      <c r="D33" s="874" t="s">
        <v>56</v>
      </c>
      <c r="E33" s="874"/>
      <c r="F33" s="98"/>
      <c r="G33" s="98"/>
      <c r="H33" s="98"/>
      <c r="I33" s="305"/>
      <c r="J33" s="192"/>
      <c r="K33" s="119"/>
      <c r="L33" s="114" t="s">
        <v>56</v>
      </c>
      <c r="M33" s="114" t="s">
        <v>57</v>
      </c>
      <c r="N33" s="114" t="s">
        <v>58</v>
      </c>
      <c r="P33" s="114"/>
      <c r="Q33" s="813"/>
      <c r="R33" s="341"/>
    </row>
    <row r="34" spans="1:39" ht="17.100000000000001" customHeight="1">
      <c r="A34" s="113"/>
      <c r="B34" s="433"/>
      <c r="C34" s="336" t="s">
        <v>59</v>
      </c>
      <c r="D34" s="874" t="s">
        <v>60</v>
      </c>
      <c r="E34" s="874"/>
      <c r="F34" s="104"/>
      <c r="G34" s="104"/>
      <c r="H34" s="106"/>
      <c r="I34" s="98"/>
      <c r="J34" s="192"/>
      <c r="K34" s="119"/>
      <c r="L34" s="114" t="s">
        <v>60</v>
      </c>
      <c r="M34" s="114" t="s">
        <v>61</v>
      </c>
      <c r="N34" s="114" t="s">
        <v>62</v>
      </c>
      <c r="P34" s="114"/>
      <c r="Q34" s="813"/>
      <c r="R34" s="341"/>
    </row>
    <row r="35" spans="1:39" ht="17.100000000000001" customHeight="1">
      <c r="A35" s="113"/>
      <c r="B35" s="865" t="s">
        <v>63</v>
      </c>
      <c r="C35" s="866"/>
      <c r="D35" s="874" t="s">
        <v>56</v>
      </c>
      <c r="E35" s="874"/>
      <c r="F35" s="205"/>
      <c r="G35" s="98"/>
      <c r="H35" s="106"/>
      <c r="I35" s="98"/>
      <c r="J35" s="192"/>
      <c r="K35" s="119"/>
      <c r="L35" s="114" t="s">
        <v>56</v>
      </c>
      <c r="M35" s="114" t="s">
        <v>64</v>
      </c>
      <c r="N35" s="114" t="s">
        <v>65</v>
      </c>
      <c r="P35" s="114"/>
      <c r="Q35" s="813"/>
      <c r="R35" s="341"/>
    </row>
    <row r="36" spans="1:39" ht="17.100000000000001" customHeight="1">
      <c r="A36" s="113"/>
      <c r="B36" s="865" t="s">
        <v>66</v>
      </c>
      <c r="C36" s="866"/>
      <c r="D36" s="874" t="s">
        <v>67</v>
      </c>
      <c r="E36" s="874"/>
      <c r="F36" s="106"/>
      <c r="G36" s="104"/>
      <c r="H36" s="106"/>
      <c r="I36" s="98"/>
      <c r="J36" s="192"/>
      <c r="K36" s="119"/>
      <c r="L36" s="114" t="s">
        <v>67</v>
      </c>
      <c r="M36" s="114" t="s">
        <v>68</v>
      </c>
      <c r="N36" s="114" t="s">
        <v>69</v>
      </c>
      <c r="P36" s="114"/>
      <c r="Q36" s="813"/>
      <c r="R36" s="341"/>
    </row>
    <row r="37" spans="1:39" ht="17.100000000000001" customHeight="1">
      <c r="A37" s="113"/>
      <c r="B37" s="865" t="s">
        <v>70</v>
      </c>
      <c r="C37" s="866"/>
      <c r="D37" s="874" t="s">
        <v>71</v>
      </c>
      <c r="E37" s="874"/>
      <c r="F37" s="401">
        <v>0.1</v>
      </c>
      <c r="G37" s="205" t="s">
        <v>72</v>
      </c>
      <c r="H37" s="106"/>
      <c r="I37" s="98"/>
      <c r="J37" s="192"/>
      <c r="K37" s="119"/>
      <c r="L37" s="114" t="s">
        <v>71</v>
      </c>
      <c r="M37" s="114" t="s">
        <v>73</v>
      </c>
      <c r="N37" s="114" t="s">
        <v>74</v>
      </c>
      <c r="O37" s="114" t="s">
        <v>75</v>
      </c>
      <c r="P37" s="114"/>
      <c r="Q37" s="813"/>
      <c r="R37" s="341"/>
    </row>
    <row r="38" spans="1:39" ht="17.100000000000001" customHeight="1">
      <c r="A38" s="113"/>
      <c r="B38" s="867" t="s">
        <v>76</v>
      </c>
      <c r="C38" s="868"/>
      <c r="D38" s="874" t="s">
        <v>77</v>
      </c>
      <c r="E38" s="874"/>
      <c r="F38" s="104"/>
      <c r="G38" s="104"/>
      <c r="H38" s="206"/>
      <c r="I38" s="98"/>
      <c r="J38" s="98"/>
      <c r="K38" s="119"/>
      <c r="L38" s="114" t="s">
        <v>71</v>
      </c>
      <c r="M38" s="114" t="s">
        <v>77</v>
      </c>
      <c r="N38" s="114" t="s">
        <v>78</v>
      </c>
      <c r="P38" s="114"/>
      <c r="Q38" s="813"/>
      <c r="R38" s="341"/>
    </row>
    <row r="39" spans="1:39" ht="17.100000000000001" customHeight="1">
      <c r="A39" s="113"/>
      <c r="B39" s="863" t="s">
        <v>79</v>
      </c>
      <c r="C39" s="864"/>
      <c r="D39" s="875" t="s">
        <v>80</v>
      </c>
      <c r="E39" s="875"/>
      <c r="F39" s="337">
        <v>0</v>
      </c>
      <c r="G39" s="799" t="s">
        <v>81</v>
      </c>
      <c r="H39" s="98"/>
      <c r="I39" s="98"/>
      <c r="J39" s="98"/>
      <c r="K39" s="119"/>
      <c r="L39" s="114" t="s">
        <v>80</v>
      </c>
      <c r="M39" s="114" t="s">
        <v>82</v>
      </c>
      <c r="N39" s="114" t="s">
        <v>83</v>
      </c>
      <c r="P39" s="114"/>
      <c r="Q39" s="813"/>
      <c r="R39" s="341"/>
    </row>
    <row r="40" spans="1:39" ht="11.1" customHeight="1">
      <c r="A40" s="113"/>
      <c r="B40" s="98"/>
      <c r="C40" s="98"/>
      <c r="D40" s="98"/>
      <c r="E40" s="98"/>
      <c r="F40" s="98"/>
      <c r="G40" s="98"/>
      <c r="H40" s="98"/>
      <c r="I40" s="98"/>
      <c r="J40" s="98"/>
      <c r="K40" s="119"/>
      <c r="P40" s="114"/>
      <c r="Q40" s="813"/>
      <c r="R40" s="341"/>
    </row>
    <row r="41" spans="1:39" ht="15.95" customHeight="1">
      <c r="A41" s="113"/>
      <c r="B41" s="795" t="s">
        <v>84</v>
      </c>
      <c r="C41" s="372"/>
      <c r="D41" s="372"/>
      <c r="E41" s="98"/>
      <c r="F41" s="98"/>
      <c r="G41" s="98"/>
      <c r="H41" s="98"/>
      <c r="I41" s="98"/>
      <c r="J41" s="98"/>
      <c r="K41" s="119"/>
      <c r="P41" s="114"/>
      <c r="Q41" s="813"/>
      <c r="R41" s="341"/>
    </row>
    <row r="42" spans="1:39">
      <c r="A42" s="113"/>
      <c r="B42" s="124" t="s">
        <v>85</v>
      </c>
      <c r="C42" s="353">
        <v>0.85</v>
      </c>
      <c r="D42" s="378" t="s">
        <v>86</v>
      </c>
      <c r="E42" s="98"/>
      <c r="F42" s="98"/>
      <c r="G42" s="98"/>
      <c r="H42" s="98"/>
      <c r="I42" s="98"/>
      <c r="J42" s="98"/>
      <c r="K42" s="119"/>
      <c r="L42" s="813"/>
      <c r="M42" s="813"/>
      <c r="N42" s="813"/>
      <c r="O42" s="813"/>
      <c r="P42" s="813"/>
      <c r="Q42" s="813"/>
    </row>
    <row r="43" spans="1:39">
      <c r="A43" s="113"/>
      <c r="B43" s="123" t="s">
        <v>87</v>
      </c>
      <c r="C43" s="353">
        <v>0.03</v>
      </c>
      <c r="D43" s="378" t="s">
        <v>88</v>
      </c>
      <c r="E43" s="98"/>
      <c r="F43" s="98"/>
      <c r="G43" s="98"/>
      <c r="H43" s="98"/>
      <c r="I43" s="98"/>
      <c r="J43" s="98"/>
      <c r="K43" s="119"/>
      <c r="L43" s="813"/>
      <c r="M43" s="813"/>
      <c r="N43" s="813"/>
      <c r="O43" s="813"/>
      <c r="P43" s="813"/>
      <c r="Q43" s="813"/>
    </row>
    <row r="44" spans="1:39">
      <c r="A44" s="113"/>
      <c r="B44" s="374"/>
      <c r="C44" s="375"/>
      <c r="D44" s="98"/>
      <c r="E44" s="387"/>
      <c r="F44" s="378"/>
      <c r="G44" s="98"/>
      <c r="H44" s="98"/>
      <c r="I44" s="98"/>
      <c r="J44" s="98"/>
      <c r="K44" s="119"/>
      <c r="L44" s="813"/>
      <c r="M44" s="813"/>
      <c r="N44" s="813"/>
      <c r="O44" s="813"/>
      <c r="P44" s="813"/>
      <c r="Q44" s="813"/>
    </row>
    <row r="45" spans="1:39">
      <c r="A45" s="113"/>
      <c r="B45" s="372" t="s">
        <v>89</v>
      </c>
      <c r="C45" s="376"/>
      <c r="D45" s="364"/>
      <c r="E45" s="387"/>
      <c r="F45" s="378"/>
      <c r="G45" s="98"/>
      <c r="H45" s="98"/>
      <c r="I45" s="98"/>
      <c r="J45" s="98"/>
      <c r="K45" s="119"/>
      <c r="L45" s="813"/>
      <c r="M45" s="813"/>
      <c r="N45" s="813"/>
      <c r="O45" s="813"/>
      <c r="P45" s="813"/>
      <c r="Q45" s="813"/>
    </row>
    <row r="46" spans="1:39" ht="48" customHeight="1">
      <c r="A46" s="113"/>
      <c r="B46" s="878" t="s">
        <v>90</v>
      </c>
      <c r="C46" s="878"/>
      <c r="D46" s="878"/>
      <c r="E46" s="98"/>
      <c r="F46" s="98"/>
      <c r="G46" s="98"/>
      <c r="H46" s="382"/>
      <c r="I46" s="382"/>
      <c r="J46" s="98"/>
      <c r="K46" s="119"/>
      <c r="L46" s="813"/>
      <c r="M46" s="813"/>
      <c r="N46" s="813"/>
      <c r="O46" s="813"/>
      <c r="P46" s="813"/>
      <c r="Q46" s="813"/>
    </row>
    <row r="47" spans="1:39" ht="24" customHeight="1">
      <c r="A47" s="113"/>
      <c r="B47" s="98"/>
      <c r="C47" s="207" t="s">
        <v>91</v>
      </c>
      <c r="D47" s="208" t="s">
        <v>92</v>
      </c>
      <c r="E47" s="767"/>
      <c r="F47" s="429"/>
      <c r="G47" s="98"/>
      <c r="H47" s="98"/>
      <c r="I47" s="114" t="s">
        <v>15</v>
      </c>
      <c r="J47" s="114" t="s">
        <v>16</v>
      </c>
      <c r="K47" s="115" t="s">
        <v>13</v>
      </c>
      <c r="L47" s="813"/>
      <c r="M47" s="813"/>
      <c r="N47" s="813"/>
      <c r="O47" s="813"/>
      <c r="P47" s="813"/>
      <c r="Q47" s="813"/>
      <c r="AK47"/>
      <c r="AL47"/>
      <c r="AM47"/>
    </row>
    <row r="48" spans="1:39" ht="18.95" customHeight="1">
      <c r="A48" s="113"/>
      <c r="B48" s="209" t="str">
        <f>B12</f>
        <v>Infantes</v>
      </c>
      <c r="C48" s="354">
        <v>10</v>
      </c>
      <c r="D48" s="251">
        <f>F12-C48</f>
        <v>2</v>
      </c>
      <c r="F48" s="98"/>
      <c r="G48" s="98"/>
      <c r="H48" s="98"/>
      <c r="I48" s="114" t="s">
        <v>1</v>
      </c>
      <c r="J48" s="114" t="s">
        <v>93</v>
      </c>
      <c r="K48" s="115" t="s">
        <v>94</v>
      </c>
      <c r="L48" s="813" t="s">
        <v>95</v>
      </c>
      <c r="M48" s="813"/>
      <c r="N48" s="813"/>
      <c r="O48" s="813"/>
      <c r="P48" s="813"/>
      <c r="Q48" s="813"/>
      <c r="AK48"/>
      <c r="AL48"/>
      <c r="AM48"/>
    </row>
    <row r="49" spans="1:39">
      <c r="A49" s="113"/>
      <c r="B49" s="209" t="str">
        <f t="shared" ref="B49:B53" si="1">B13</f>
        <v>Niños pequeños</v>
      </c>
      <c r="C49" s="354">
        <v>6</v>
      </c>
      <c r="D49" s="251">
        <f t="shared" ref="D49:D53" si="2">F13-C49</f>
        <v>6</v>
      </c>
      <c r="E49" s="382"/>
      <c r="F49" s="98"/>
      <c r="G49" s="98"/>
      <c r="H49" s="98"/>
      <c r="I49" s="114"/>
      <c r="J49" s="114"/>
      <c r="K49" s="115"/>
      <c r="M49" s="98"/>
      <c r="N49" s="98"/>
      <c r="O49" s="98"/>
      <c r="AK49"/>
      <c r="AL49"/>
      <c r="AM49"/>
    </row>
    <row r="50" spans="1:39">
      <c r="A50" s="113"/>
      <c r="B50" s="209" t="str">
        <f t="shared" si="1"/>
        <v>2 años de edad</v>
      </c>
      <c r="C50" s="354">
        <v>6</v>
      </c>
      <c r="D50" s="251">
        <f t="shared" si="2"/>
        <v>6</v>
      </c>
      <c r="E50" s="98"/>
      <c r="F50" s="98"/>
      <c r="G50" s="98"/>
      <c r="H50" s="98"/>
      <c r="I50" s="114"/>
      <c r="J50" s="114"/>
      <c r="K50" s="115"/>
      <c r="M50" s="98"/>
      <c r="N50" s="98"/>
      <c r="O50" s="98"/>
      <c r="AK50"/>
      <c r="AL50"/>
      <c r="AM50"/>
    </row>
    <row r="51" spans="1:39">
      <c r="A51" s="113"/>
      <c r="B51" s="209" t="str">
        <f t="shared" si="1"/>
        <v>3 años de edad</v>
      </c>
      <c r="C51" s="354">
        <v>6</v>
      </c>
      <c r="D51" s="251">
        <f t="shared" si="2"/>
        <v>14</v>
      </c>
      <c r="E51" s="98"/>
      <c r="F51" s="98"/>
      <c r="G51" s="98"/>
      <c r="H51" s="98"/>
      <c r="I51" s="114"/>
      <c r="J51" s="114"/>
      <c r="K51" s="115"/>
      <c r="M51" s="98"/>
      <c r="N51" s="98"/>
      <c r="O51" s="98"/>
      <c r="AK51"/>
      <c r="AL51"/>
      <c r="AM51"/>
    </row>
    <row r="52" spans="1:39" ht="14.1" thickBot="1">
      <c r="A52" s="113"/>
      <c r="B52" s="209" t="str">
        <f t="shared" si="1"/>
        <v>4-5 años de edad</v>
      </c>
      <c r="C52" s="354">
        <v>0</v>
      </c>
      <c r="D52" s="251">
        <f t="shared" si="2"/>
        <v>0</v>
      </c>
      <c r="E52" s="98"/>
      <c r="F52" s="98"/>
      <c r="G52" s="98"/>
      <c r="H52" s="98"/>
      <c r="I52" s="114"/>
      <c r="J52" s="114"/>
      <c r="K52" s="115"/>
      <c r="M52" s="98"/>
      <c r="N52" s="98"/>
      <c r="O52" s="98"/>
      <c r="AK52"/>
      <c r="AL52"/>
      <c r="AM52"/>
    </row>
    <row r="53" spans="1:39" ht="27.95">
      <c r="A53" s="113"/>
      <c r="B53" s="209" t="str">
        <f t="shared" si="1"/>
        <v>Edad escolar</v>
      </c>
      <c r="C53" s="354">
        <v>0</v>
      </c>
      <c r="D53" s="251">
        <f t="shared" si="2"/>
        <v>0</v>
      </c>
      <c r="E53" s="98"/>
      <c r="F53" s="98"/>
      <c r="G53" s="721"/>
      <c r="H53" s="726" t="s">
        <v>96</v>
      </c>
      <c r="I53" s="112"/>
      <c r="J53" s="114"/>
      <c r="K53" s="115"/>
      <c r="M53" s="98"/>
      <c r="N53" s="98"/>
      <c r="O53" s="98"/>
      <c r="AK53"/>
      <c r="AL53"/>
      <c r="AM53"/>
    </row>
    <row r="54" spans="1:39">
      <c r="A54" s="113"/>
      <c r="B54" s="272" t="s">
        <v>97</v>
      </c>
      <c r="C54" s="62">
        <f>SUM(C48:C53)</f>
        <v>28</v>
      </c>
      <c r="D54" s="414">
        <f>F18-C54</f>
        <v>28</v>
      </c>
      <c r="E54" s="98"/>
      <c r="F54" s="98"/>
      <c r="G54" s="721"/>
      <c r="H54" s="720"/>
      <c r="I54" s="719" t="s">
        <v>98</v>
      </c>
      <c r="J54" s="114"/>
      <c r="K54" s="115"/>
      <c r="L54" s="98"/>
      <c r="M54" s="98"/>
      <c r="N54" s="98"/>
      <c r="O54" s="98"/>
      <c r="AJ54"/>
      <c r="AK54"/>
      <c r="AL54"/>
      <c r="AM54"/>
    </row>
    <row r="55" spans="1:39">
      <c r="A55" s="113"/>
      <c r="B55" s="264" t="s">
        <v>99</v>
      </c>
      <c r="C55" s="265">
        <f>C54/$F18</f>
        <v>0.5</v>
      </c>
      <c r="D55" s="265">
        <f>D54/$F18</f>
        <v>0.5</v>
      </c>
      <c r="E55" s="98"/>
      <c r="F55" s="98"/>
      <c r="G55" s="870"/>
      <c r="H55" s="722" t="s">
        <v>100</v>
      </c>
      <c r="I55" s="727">
        <v>2000</v>
      </c>
      <c r="J55" s="347"/>
      <c r="K55" s="115"/>
      <c r="L55" s="98"/>
      <c r="M55" s="98"/>
      <c r="N55" s="98"/>
      <c r="O55" s="98"/>
      <c r="AJ55"/>
      <c r="AK55"/>
      <c r="AL55"/>
      <c r="AM55"/>
    </row>
    <row r="56" spans="1:39">
      <c r="A56" s="113"/>
      <c r="B56" s="378"/>
      <c r="C56" s="379"/>
      <c r="D56" s="379"/>
      <c r="E56" s="399"/>
      <c r="F56" s="98"/>
      <c r="G56" s="871"/>
      <c r="H56" s="722" t="s">
        <v>101</v>
      </c>
      <c r="I56" s="728">
        <v>1800</v>
      </c>
      <c r="J56" s="98"/>
      <c r="K56" s="119"/>
      <c r="N56" s="346"/>
      <c r="O56" s="347"/>
    </row>
    <row r="57" spans="1:39">
      <c r="A57" s="113"/>
      <c r="B57" s="361" t="s">
        <v>102</v>
      </c>
      <c r="C57" s="355">
        <v>100000</v>
      </c>
      <c r="D57" s="196" t="s">
        <v>103</v>
      </c>
      <c r="E57" s="98"/>
      <c r="F57" s="98"/>
      <c r="G57" s="871"/>
      <c r="H57" s="722" t="s">
        <v>104</v>
      </c>
      <c r="I57" s="728">
        <v>1500</v>
      </c>
      <c r="J57" s="98"/>
      <c r="K57" s="119"/>
      <c r="N57" s="346"/>
      <c r="O57" s="347"/>
    </row>
    <row r="58" spans="1:39">
      <c r="A58" s="113"/>
      <c r="B58" s="361"/>
      <c r="C58" s="380"/>
      <c r="D58" s="304"/>
      <c r="E58" s="98"/>
      <c r="F58" s="98"/>
      <c r="G58" s="871"/>
      <c r="H58" s="722" t="s">
        <v>105</v>
      </c>
      <c r="I58" s="728">
        <v>1500</v>
      </c>
      <c r="J58" s="98"/>
      <c r="K58" s="119"/>
      <c r="N58" s="346"/>
      <c r="O58" s="347"/>
    </row>
    <row r="59" spans="1:39" ht="27.95">
      <c r="A59" s="113"/>
      <c r="B59" s="398" t="s">
        <v>106</v>
      </c>
      <c r="C59" s="97" t="s">
        <v>1</v>
      </c>
      <c r="D59" s="431"/>
      <c r="E59" s="98"/>
      <c r="F59" s="98"/>
      <c r="G59" s="871"/>
      <c r="H59" s="722" t="s">
        <v>107</v>
      </c>
      <c r="I59" s="728">
        <v>1200</v>
      </c>
      <c r="J59" s="98"/>
      <c r="K59" s="119"/>
      <c r="N59" s="346"/>
      <c r="O59" s="347"/>
    </row>
    <row r="60" spans="1:39" ht="14.1" thickBot="1">
      <c r="A60" s="113"/>
      <c r="B60" s="380" t="s">
        <v>108</v>
      </c>
      <c r="C60" s="97" t="s">
        <v>4</v>
      </c>
      <c r="D60" s="835" t="s">
        <v>109</v>
      </c>
      <c r="E60" s="836"/>
      <c r="F60" s="836"/>
      <c r="G60" s="837"/>
      <c r="H60" s="723" t="s">
        <v>73</v>
      </c>
      <c r="I60" s="729">
        <v>800</v>
      </c>
      <c r="J60" s="98"/>
      <c r="K60" s="119"/>
      <c r="N60" s="346"/>
      <c r="O60" s="347"/>
    </row>
    <row r="61" spans="1:39" ht="14.1" thickBot="1">
      <c r="A61" s="113"/>
      <c r="B61" s="379"/>
      <c r="C61" s="397"/>
      <c r="D61" s="114" t="s">
        <v>110</v>
      </c>
      <c r="E61" s="114" t="s">
        <v>111</v>
      </c>
      <c r="F61" s="114" t="s">
        <v>4</v>
      </c>
      <c r="G61" s="114" t="s">
        <v>4</v>
      </c>
      <c r="H61" s="98"/>
      <c r="I61" s="98"/>
      <c r="J61" s="98"/>
      <c r="K61" s="119"/>
      <c r="N61" s="346"/>
      <c r="O61" s="347"/>
    </row>
    <row r="62" spans="1:39" s="1" customFormat="1" ht="20.100000000000001" customHeight="1">
      <c r="A62" s="779"/>
      <c r="B62" s="784" t="s">
        <v>112</v>
      </c>
      <c r="C62" s="780"/>
      <c r="D62" s="781"/>
      <c r="E62" s="780"/>
      <c r="F62" s="780"/>
      <c r="G62" s="780"/>
      <c r="H62" s="780"/>
      <c r="I62" s="780"/>
      <c r="J62" s="780"/>
      <c r="K62" s="782"/>
      <c r="L62" s="715"/>
      <c r="M62" s="715"/>
      <c r="N62" s="716"/>
      <c r="O62" s="717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  <c r="AE62" s="361"/>
      <c r="AF62" s="361"/>
      <c r="AG62" s="361"/>
      <c r="AH62" s="361"/>
      <c r="AI62" s="361"/>
      <c r="AJ62" s="361"/>
      <c r="AK62" s="361"/>
      <c r="AL62" s="361"/>
      <c r="AM62" s="361"/>
    </row>
    <row r="63" spans="1:39" ht="14.1" thickBot="1">
      <c r="A63" s="113"/>
      <c r="B63" s="378"/>
      <c r="C63" s="379"/>
      <c r="D63" s="107"/>
      <c r="E63" s="98"/>
      <c r="F63" s="98"/>
      <c r="G63" s="98"/>
      <c r="H63" s="98"/>
      <c r="I63" s="98"/>
      <c r="J63" s="98"/>
      <c r="K63" s="119"/>
      <c r="N63" s="346"/>
      <c r="O63" s="347"/>
    </row>
    <row r="64" spans="1:39" ht="15.95" customHeight="1">
      <c r="A64" s="113"/>
      <c r="B64" s="230" t="s">
        <v>113</v>
      </c>
      <c r="C64" s="231"/>
      <c r="D64" s="98"/>
      <c r="E64" s="811" t="s">
        <v>114</v>
      </c>
      <c r="F64" s="127"/>
      <c r="G64" s="128" t="s">
        <v>115</v>
      </c>
      <c r="H64" s="128" t="s">
        <v>116</v>
      </c>
      <c r="I64" s="129" t="s">
        <v>117</v>
      </c>
      <c r="J64" s="98"/>
      <c r="K64" s="119"/>
    </row>
    <row r="65" spans="1:39" ht="14.1">
      <c r="A65" s="113"/>
      <c r="B65" s="232"/>
      <c r="C65" s="233"/>
      <c r="D65" s="98"/>
      <c r="E65" s="130"/>
      <c r="F65" s="412" t="str">
        <f>B12</f>
        <v>Infantes</v>
      </c>
      <c r="G65" s="413">
        <f>'Quality Center Profile'!H7</f>
        <v>27217.038119064633</v>
      </c>
      <c r="H65" s="413">
        <f>G65/12</f>
        <v>2268.0865099220528</v>
      </c>
      <c r="I65" s="356">
        <f>G65/52</f>
        <v>523.40457921278141</v>
      </c>
      <c r="J65" s="98"/>
      <c r="K65" s="119"/>
    </row>
    <row r="66" spans="1:39" ht="14.1">
      <c r="A66" s="113"/>
      <c r="B66" s="234" t="s">
        <v>118</v>
      </c>
      <c r="C66" s="235">
        <f>'Quality Center Profile'!A18</f>
        <v>12.8</v>
      </c>
      <c r="D66" s="98"/>
      <c r="E66" s="130"/>
      <c r="F66" s="412" t="str">
        <f>B13</f>
        <v>Niños pequeños</v>
      </c>
      <c r="G66" s="413">
        <f>'Quality Center Profile'!H8</f>
        <v>22456.751082027604</v>
      </c>
      <c r="H66" s="413">
        <f>G66/12</f>
        <v>1871.3959235023003</v>
      </c>
      <c r="I66" s="356">
        <f>G66/52</f>
        <v>431.86059773130006</v>
      </c>
      <c r="J66" s="98"/>
      <c r="K66" s="119"/>
    </row>
    <row r="67" spans="1:39" ht="14.1">
      <c r="A67" s="113"/>
      <c r="B67" s="236" t="s">
        <v>119</v>
      </c>
      <c r="C67" s="237">
        <f>SUM('Quality Center Profile'!A24:A29)</f>
        <v>10.8</v>
      </c>
      <c r="D67" s="98"/>
      <c r="E67" s="130"/>
      <c r="F67" s="412" t="str">
        <f>B14</f>
        <v>2 años de edad</v>
      </c>
      <c r="G67" s="413">
        <f>'Quality Center Profile'!H9</f>
        <v>22456.751082027604</v>
      </c>
      <c r="H67" s="413">
        <f>G67/12</f>
        <v>1871.3959235023003</v>
      </c>
      <c r="I67" s="356">
        <f t="shared" ref="I67:I68" si="3">G67/52</f>
        <v>431.86059773130006</v>
      </c>
      <c r="J67" s="98"/>
      <c r="K67" s="119"/>
    </row>
    <row r="68" spans="1:39" ht="14.1">
      <c r="A68" s="113"/>
      <c r="B68" s="232"/>
      <c r="C68" s="233"/>
      <c r="D68" s="98"/>
      <c r="E68" s="130"/>
      <c r="F68" s="412" t="str">
        <f t="shared" ref="F68:F70" si="4">B15</f>
        <v>3 años de edad</v>
      </c>
      <c r="G68" s="413">
        <f>'Quality Center Profile'!H10</f>
        <v>17148.28204214156</v>
      </c>
      <c r="H68" s="413">
        <f t="shared" ref="H68" si="5">G68/12</f>
        <v>1429.0235035117967</v>
      </c>
      <c r="I68" s="356">
        <f t="shared" si="3"/>
        <v>329.77465465656849</v>
      </c>
      <c r="J68" s="98"/>
      <c r="K68" s="119"/>
    </row>
    <row r="69" spans="1:39" ht="14.1">
      <c r="A69" s="113"/>
      <c r="B69" s="238" t="s">
        <v>120</v>
      </c>
      <c r="C69" s="233"/>
      <c r="D69" s="98"/>
      <c r="E69" s="130"/>
      <c r="F69" s="412" t="str">
        <f t="shared" si="4"/>
        <v>4-5 años de edad</v>
      </c>
      <c r="G69" s="413">
        <f>'Quality Center Profile'!H11</f>
        <v>0</v>
      </c>
      <c r="H69" s="413">
        <f>G69/12</f>
        <v>0</v>
      </c>
      <c r="I69" s="356">
        <f t="shared" ref="I69" si="6">G69/52</f>
        <v>0</v>
      </c>
      <c r="J69" s="98"/>
      <c r="K69" s="119"/>
    </row>
    <row r="70" spans="1:39" ht="15" thickBot="1">
      <c r="A70" s="113"/>
      <c r="B70" s="239" t="s">
        <v>121</v>
      </c>
      <c r="C70" s="240">
        <f>'Quality Center Profile'!D38</f>
        <v>807813.22923076921</v>
      </c>
      <c r="D70" s="98"/>
      <c r="E70" s="131"/>
      <c r="F70" s="229" t="str">
        <f t="shared" si="4"/>
        <v>Edad escolar</v>
      </c>
      <c r="G70" s="357">
        <f>'Quality Center Profile'!H12</f>
        <v>0</v>
      </c>
      <c r="H70" s="357">
        <f>G70/12</f>
        <v>0</v>
      </c>
      <c r="I70" s="358">
        <f t="shared" ref="I70" si="7">G70/52</f>
        <v>0</v>
      </c>
      <c r="J70" s="98"/>
      <c r="K70" s="119"/>
      <c r="P70" s="114"/>
    </row>
    <row r="71" spans="1:39" ht="14.1">
      <c r="A71" s="113"/>
      <c r="B71" s="239" t="s">
        <v>41</v>
      </c>
      <c r="C71" s="240">
        <f>SUM('Quality Center Profile'!D44:D46)</f>
        <v>153777.50923615386</v>
      </c>
      <c r="D71" s="98"/>
      <c r="E71" s="98"/>
      <c r="F71" s="98"/>
      <c r="G71" s="98"/>
      <c r="H71" s="98"/>
      <c r="I71" s="98"/>
      <c r="J71" s="98"/>
      <c r="K71" s="119"/>
      <c r="P71" s="114"/>
    </row>
    <row r="72" spans="1:39" ht="15" customHeight="1">
      <c r="A72" s="113"/>
      <c r="B72" s="241" t="s">
        <v>118</v>
      </c>
      <c r="C72" s="242">
        <f>SUM(C70:C71)</f>
        <v>961590.73846692313</v>
      </c>
      <c r="D72" s="98"/>
      <c r="E72" s="98"/>
      <c r="F72" s="98"/>
      <c r="G72" s="98"/>
      <c r="H72" s="98"/>
      <c r="I72" s="98"/>
      <c r="J72" s="98"/>
      <c r="K72" s="119"/>
      <c r="P72" s="114"/>
    </row>
    <row r="73" spans="1:39" ht="14.1" customHeight="1" thickBot="1">
      <c r="A73" s="113"/>
      <c r="B73" s="239" t="s">
        <v>122</v>
      </c>
      <c r="C73" s="243">
        <f>'Quality Center Profile'!D57</f>
        <v>0</v>
      </c>
      <c r="D73" s="98"/>
      <c r="E73" s="98"/>
      <c r="F73" s="98"/>
      <c r="G73" s="98"/>
      <c r="H73" s="98"/>
      <c r="I73" s="98"/>
      <c r="J73" s="98"/>
      <c r="K73" s="119"/>
      <c r="N73" s="348"/>
      <c r="O73" s="348"/>
      <c r="P73" s="114"/>
    </row>
    <row r="74" spans="1:39" ht="14.1">
      <c r="A74" s="113"/>
      <c r="B74" s="239" t="s">
        <v>123</v>
      </c>
      <c r="C74" s="243">
        <f>NP_EdProgram</f>
        <v>101261.6</v>
      </c>
      <c r="D74" s="98"/>
      <c r="E74" s="306" t="s">
        <v>124</v>
      </c>
      <c r="F74" s="307"/>
      <c r="G74" s="308" t="s">
        <v>125</v>
      </c>
      <c r="H74" s="843" t="s">
        <v>126</v>
      </c>
      <c r="I74" s="844"/>
      <c r="J74" s="98"/>
      <c r="K74" s="119"/>
      <c r="N74" s="348"/>
      <c r="O74" s="348"/>
      <c r="P74" s="114"/>
    </row>
    <row r="75" spans="1:39" ht="14.1">
      <c r="A75" s="113"/>
      <c r="B75" s="239" t="s">
        <v>127</v>
      </c>
      <c r="C75" s="243">
        <f>NP_Occupancy</f>
        <v>43708</v>
      </c>
      <c r="D75" s="98"/>
      <c r="E75" s="421"/>
      <c r="F75" s="415" t="str">
        <f>F65</f>
        <v>Infantes</v>
      </c>
      <c r="G75" s="416">
        <f>'Quality Center Profile'!F81</f>
        <v>905.125</v>
      </c>
      <c r="H75" s="845">
        <f>IF(H65&gt;0,(G75-H65),0)</f>
        <v>-1362.9615099220528</v>
      </c>
      <c r="I75" s="845"/>
      <c r="J75" s="98"/>
      <c r="K75" s="119"/>
      <c r="N75" s="348"/>
      <c r="O75" s="348"/>
      <c r="P75" s="114"/>
    </row>
    <row r="76" spans="1:39" ht="14.1">
      <c r="A76" s="113"/>
      <c r="B76" s="239" t="s">
        <v>128</v>
      </c>
      <c r="C76" s="243">
        <f>NP_MgtAdmin</f>
        <v>21556.099999999995</v>
      </c>
      <c r="D76" s="98"/>
      <c r="E76" s="422" t="s">
        <v>129</v>
      </c>
      <c r="F76" s="415" t="str">
        <f t="shared" ref="F76:F79" si="8">F66</f>
        <v>Niños pequeños</v>
      </c>
      <c r="G76" s="416">
        <f>'Quality Center Profile'!F82</f>
        <v>823.33333333333337</v>
      </c>
      <c r="H76" s="845">
        <f>IF(H66&gt;0,(G76-H66),0)</f>
        <v>-1048.0625901689668</v>
      </c>
      <c r="I76" s="845"/>
      <c r="J76" s="98"/>
      <c r="K76" s="119"/>
      <c r="N76" s="348"/>
      <c r="O76" s="348"/>
      <c r="P76" s="114"/>
    </row>
    <row r="77" spans="1:39" ht="15.95" customHeight="1">
      <c r="A77" s="113"/>
      <c r="B77" s="239" t="s">
        <v>130</v>
      </c>
      <c r="C77" s="243">
        <f>Reserve_Fund</f>
        <v>57549.148773346154</v>
      </c>
      <c r="D77" s="98"/>
      <c r="E77" s="309" t="str">
        <f>C6</f>
        <v>En todo el estado</v>
      </c>
      <c r="F77" s="415" t="str">
        <f t="shared" si="8"/>
        <v>2 años de edad</v>
      </c>
      <c r="G77" s="416">
        <f>'Quality Center Profile'!F83</f>
        <v>823.33333333333337</v>
      </c>
      <c r="H77" s="846">
        <f>IF(H67&gt;0,(G77-H67),0)</f>
        <v>-1048.0625901689668</v>
      </c>
      <c r="I77" s="845"/>
      <c r="J77" s="348"/>
      <c r="K77" s="115"/>
      <c r="M77" s="98"/>
      <c r="N77" s="98"/>
      <c r="O77" s="98"/>
      <c r="AI77"/>
      <c r="AJ77"/>
      <c r="AK77"/>
      <c r="AL77"/>
      <c r="AM77"/>
    </row>
    <row r="78" spans="1:39" ht="14.1" customHeight="1">
      <c r="A78" s="113"/>
      <c r="B78" s="241" t="s">
        <v>131</v>
      </c>
      <c r="C78" s="242">
        <f>SUM(C73:C77)</f>
        <v>224074.84877334617</v>
      </c>
      <c r="D78" s="98"/>
      <c r="E78" s="422" t="s">
        <v>132</v>
      </c>
      <c r="F78" s="415" t="str">
        <f t="shared" si="8"/>
        <v>3 años de edad</v>
      </c>
      <c r="G78" s="416">
        <f>'Quality Center Profile'!F84</f>
        <v>875.44166666666672</v>
      </c>
      <c r="H78" s="846">
        <f>IF(H68&gt;0,(G78-H68),0)</f>
        <v>-553.58183684512994</v>
      </c>
      <c r="I78" s="845"/>
      <c r="J78" s="348"/>
      <c r="K78" s="115"/>
      <c r="M78" s="98"/>
      <c r="N78" s="98"/>
      <c r="O78" s="98"/>
      <c r="AI78"/>
      <c r="AJ78"/>
      <c r="AK78"/>
      <c r="AL78"/>
      <c r="AM78"/>
    </row>
    <row r="79" spans="1:39" ht="14.1">
      <c r="A79" s="113"/>
      <c r="B79" s="244" t="s">
        <v>133</v>
      </c>
      <c r="C79" s="245">
        <f>SUM(C72,C78)</f>
        <v>1185665.5872402694</v>
      </c>
      <c r="D79" s="98"/>
      <c r="E79" s="309" t="str">
        <f>C59</f>
        <v>Licencia</v>
      </c>
      <c r="F79" s="415" t="str">
        <f t="shared" si="8"/>
        <v>4-5 años de edad</v>
      </c>
      <c r="G79" s="416">
        <f>'Quality Center Profile'!F85</f>
        <v>875.44166666666672</v>
      </c>
      <c r="H79" s="846">
        <f t="shared" ref="H79:H80" si="9">IF(H69&gt;0,(G79-H69),0)</f>
        <v>0</v>
      </c>
      <c r="I79" s="845"/>
      <c r="J79" s="114"/>
      <c r="K79" s="115"/>
      <c r="M79" s="98"/>
      <c r="N79" s="98"/>
      <c r="O79" s="98"/>
      <c r="AI79"/>
      <c r="AJ79"/>
      <c r="AK79"/>
      <c r="AL79"/>
      <c r="AM79"/>
    </row>
    <row r="80" spans="1:39" ht="15" customHeight="1" thickBot="1">
      <c r="A80" s="113"/>
      <c r="B80" s="232"/>
      <c r="C80" s="233"/>
      <c r="D80" s="98"/>
      <c r="E80" s="423"/>
      <c r="F80" s="310" t="str">
        <f>F70</f>
        <v>Edad escolar</v>
      </c>
      <c r="G80" s="359">
        <f>'Quality Center Profile'!F86</f>
        <v>492.375</v>
      </c>
      <c r="H80" s="847">
        <f t="shared" si="9"/>
        <v>0</v>
      </c>
      <c r="I80" s="848"/>
      <c r="J80" s="114"/>
      <c r="K80" s="115"/>
      <c r="M80" s="98"/>
      <c r="N80" s="98"/>
      <c r="O80" s="98"/>
      <c r="AI80"/>
      <c r="AJ80"/>
      <c r="AK80"/>
      <c r="AL80"/>
      <c r="AM80"/>
    </row>
    <row r="81" spans="1:39" ht="14.1">
      <c r="A81" s="113"/>
      <c r="B81" s="238" t="s">
        <v>134</v>
      </c>
      <c r="C81" s="233"/>
      <c r="D81" s="98"/>
      <c r="E81" s="98"/>
      <c r="F81" s="98"/>
      <c r="G81" s="98"/>
      <c r="H81" s="114"/>
      <c r="I81" s="114"/>
      <c r="J81" s="114"/>
      <c r="K81" s="115"/>
      <c r="M81" s="98"/>
      <c r="N81" s="98"/>
      <c r="O81" s="98"/>
      <c r="AI81"/>
      <c r="AJ81"/>
      <c r="AK81"/>
      <c r="AL81"/>
      <c r="AM81"/>
    </row>
    <row r="82" spans="1:39" ht="14.1" customHeight="1">
      <c r="A82" s="113"/>
      <c r="B82" s="232" t="s">
        <v>135</v>
      </c>
      <c r="C82" s="240">
        <f>'Quality Center Profile'!D73</f>
        <v>71707.999999999985</v>
      </c>
      <c r="D82" s="98"/>
      <c r="E82" s="98"/>
      <c r="F82" s="98"/>
      <c r="G82" s="98"/>
      <c r="H82" s="114"/>
      <c r="I82" s="114"/>
      <c r="J82" s="114"/>
      <c r="K82" s="115"/>
      <c r="M82" s="98"/>
      <c r="N82" s="98"/>
      <c r="O82" s="98"/>
      <c r="AI82"/>
      <c r="AJ82"/>
      <c r="AK82"/>
      <c r="AL82"/>
      <c r="AM82"/>
    </row>
    <row r="83" spans="1:39" ht="15" thickBot="1">
      <c r="A83" s="113"/>
      <c r="B83" s="232" t="s">
        <v>136</v>
      </c>
      <c r="C83" s="240">
        <f>SUM('Quality Center Profile'!D81:D86)</f>
        <v>290206.8</v>
      </c>
      <c r="D83" s="98"/>
      <c r="E83" s="98"/>
      <c r="F83" s="122"/>
      <c r="G83" s="122"/>
      <c r="H83" s="114"/>
      <c r="I83" s="114"/>
      <c r="J83" s="114"/>
      <c r="K83" s="115"/>
      <c r="M83" s="98"/>
      <c r="N83" s="98"/>
      <c r="O83" s="98"/>
      <c r="AI83"/>
      <c r="AJ83"/>
      <c r="AK83"/>
      <c r="AL83"/>
      <c r="AM83"/>
    </row>
    <row r="84" spans="1:39" ht="14.1">
      <c r="A84" s="113"/>
      <c r="B84" s="232" t="s">
        <v>137</v>
      </c>
      <c r="C84" s="240">
        <f>SUM('Quality Center Profile'!D74:D79)</f>
        <v>353064.39999999997</v>
      </c>
      <c r="D84" s="98"/>
      <c r="E84" s="855" t="s">
        <v>138</v>
      </c>
      <c r="F84" s="856"/>
      <c r="G84" s="311" t="s">
        <v>98</v>
      </c>
      <c r="H84" s="857" t="s">
        <v>126</v>
      </c>
      <c r="I84" s="858"/>
      <c r="J84" s="98"/>
      <c r="K84" s="119"/>
      <c r="P84" s="114"/>
    </row>
    <row r="85" spans="1:39" ht="27.95">
      <c r="A85" s="113"/>
      <c r="B85" s="232" t="s">
        <v>139</v>
      </c>
      <c r="C85" s="240">
        <f>'Quality Center Profile'!D87</f>
        <v>100000</v>
      </c>
      <c r="D85" s="98"/>
      <c r="E85" s="796" t="s">
        <v>140</v>
      </c>
      <c r="F85" s="417" t="str">
        <f>F65</f>
        <v>Infantes</v>
      </c>
      <c r="G85" s="418">
        <f>'Quality Center Profile'!F74</f>
        <v>1119.8416666666667</v>
      </c>
      <c r="H85" s="839">
        <f>IF(H65&gt;0,G85-H65,0)</f>
        <v>-1148.2448432553861</v>
      </c>
      <c r="I85" s="840"/>
      <c r="J85" s="98"/>
      <c r="K85" s="119"/>
    </row>
    <row r="86" spans="1:39" ht="17.100000000000001" customHeight="1">
      <c r="A86" s="113"/>
      <c r="B86" s="244" t="s">
        <v>141</v>
      </c>
      <c r="C86" s="249">
        <f>SUM(C82:C85)</f>
        <v>814979.2</v>
      </c>
      <c r="D86" s="98"/>
      <c r="E86" s="312" t="str">
        <f>C6</f>
        <v>En todo el estado</v>
      </c>
      <c r="F86" s="417" t="str">
        <f t="shared" ref="F86:F90" si="10">F66</f>
        <v>Niños pequeños</v>
      </c>
      <c r="G86" s="418">
        <f>'Quality Center Profile'!F75</f>
        <v>1076.5083333333332</v>
      </c>
      <c r="H86" s="839">
        <f t="shared" ref="H86:H90" si="11">IF(H66&gt;0,G86-H66,0)</f>
        <v>-794.88759016896711</v>
      </c>
      <c r="I86" s="840"/>
      <c r="J86" s="98"/>
      <c r="K86" s="119"/>
    </row>
    <row r="87" spans="1:39" ht="15.95" customHeight="1">
      <c r="A87" s="113"/>
      <c r="B87" s="853" t="s">
        <v>142</v>
      </c>
      <c r="C87" s="250"/>
      <c r="D87" s="98"/>
      <c r="E87" s="430" t="s">
        <v>143</v>
      </c>
      <c r="F87" s="417" t="str">
        <f t="shared" si="10"/>
        <v>2 años de edad</v>
      </c>
      <c r="G87" s="418">
        <f>'Quality Center Profile'!F76</f>
        <v>1076.5083333333332</v>
      </c>
      <c r="H87" s="839">
        <f t="shared" si="11"/>
        <v>-794.88759016896711</v>
      </c>
      <c r="I87" s="840"/>
      <c r="J87" s="114"/>
      <c r="K87" s="119"/>
    </row>
    <row r="88" spans="1:39" ht="18.95" customHeight="1">
      <c r="A88" s="113"/>
      <c r="B88" s="854"/>
      <c r="C88" s="246">
        <f>SUM('Quality Center Profile'!D91:D92)*-1</f>
        <v>-140478.84959999999</v>
      </c>
      <c r="D88" s="98"/>
      <c r="E88" s="312" t="str">
        <f>C60</f>
        <v>Usuario ingresado</v>
      </c>
      <c r="F88" s="417" t="str">
        <f t="shared" si="10"/>
        <v>3 años de edad</v>
      </c>
      <c r="G88" s="418">
        <f>'Quality Center Profile'!F77</f>
        <v>1018.875</v>
      </c>
      <c r="H88" s="839">
        <f t="shared" si="11"/>
        <v>-410.14850351179666</v>
      </c>
      <c r="I88" s="840"/>
      <c r="J88" s="114"/>
      <c r="K88" s="119"/>
    </row>
    <row r="89" spans="1:39" ht="15.95" customHeight="1">
      <c r="A89" s="113"/>
      <c r="B89" s="232"/>
      <c r="C89" s="233"/>
      <c r="D89" s="732"/>
      <c r="E89" s="419"/>
      <c r="F89" s="417" t="str">
        <f t="shared" si="10"/>
        <v>4-5 años de edad</v>
      </c>
      <c r="G89" s="418">
        <f>'Quality Center Profile'!F78</f>
        <v>1018.875</v>
      </c>
      <c r="H89" s="839">
        <f t="shared" si="11"/>
        <v>0</v>
      </c>
      <c r="I89" s="840"/>
      <c r="J89" s="114"/>
      <c r="K89" s="119"/>
    </row>
    <row r="90" spans="1:39" ht="18" customHeight="1" thickBot="1">
      <c r="A90" s="113"/>
      <c r="B90" s="849" t="s">
        <v>144</v>
      </c>
      <c r="C90" s="851">
        <f>'Quality Center Profile'!D94</f>
        <v>-534031.77384026931</v>
      </c>
      <c r="D90" s="382"/>
      <c r="E90" s="420"/>
      <c r="F90" s="313" t="str">
        <f t="shared" si="10"/>
        <v>Edad escolar</v>
      </c>
      <c r="G90" s="360">
        <f>'Quality Center Profile'!F79</f>
        <v>565.30500000000006</v>
      </c>
      <c r="H90" s="841">
        <f t="shared" si="11"/>
        <v>0</v>
      </c>
      <c r="I90" s="842"/>
      <c r="J90" s="114"/>
      <c r="K90" s="119"/>
    </row>
    <row r="91" spans="1:39" ht="21" customHeight="1">
      <c r="A91" s="113"/>
      <c r="B91" s="850"/>
      <c r="C91" s="852"/>
      <c r="D91" s="388"/>
      <c r="E91" s="114"/>
      <c r="F91" s="114"/>
      <c r="G91" s="114"/>
      <c r="H91" s="114"/>
      <c r="I91" s="114"/>
      <c r="J91" s="114"/>
      <c r="K91" s="119"/>
    </row>
    <row r="92" spans="1:39" ht="15" thickBot="1">
      <c r="A92" s="113"/>
      <c r="B92" s="247" t="s">
        <v>145</v>
      </c>
      <c r="C92" s="248">
        <f>'Quality Center Profile'!E94</f>
        <v>-0.44188463271175576</v>
      </c>
      <c r="D92" s="388"/>
      <c r="E92" s="114"/>
      <c r="F92" s="114"/>
      <c r="G92" s="114"/>
      <c r="H92" s="114"/>
      <c r="I92" s="114"/>
      <c r="J92" s="114"/>
      <c r="K92" s="119"/>
    </row>
    <row r="93" spans="1:39">
      <c r="A93" s="113"/>
      <c r="B93" s="98"/>
      <c r="C93" s="98"/>
      <c r="D93" s="98"/>
      <c r="E93" s="98"/>
      <c r="F93" s="98"/>
      <c r="G93" s="98"/>
      <c r="H93" s="98"/>
      <c r="I93" s="98"/>
      <c r="J93" s="98"/>
      <c r="K93" s="119"/>
    </row>
    <row r="94" spans="1:39" ht="2.1" customHeight="1">
      <c r="A94" s="113"/>
      <c r="B94" s="98"/>
      <c r="C94" s="98"/>
      <c r="D94" s="98"/>
      <c r="E94" s="98"/>
      <c r="F94" s="98"/>
      <c r="G94" s="98"/>
      <c r="H94" s="98"/>
      <c r="I94" s="98"/>
      <c r="J94" s="98"/>
      <c r="K94" s="119"/>
    </row>
    <row r="95" spans="1:39" ht="5.0999999999999996" customHeight="1">
      <c r="A95" s="113"/>
      <c r="B95" s="98"/>
      <c r="C95" s="98"/>
      <c r="D95" s="98"/>
      <c r="E95" s="98"/>
      <c r="F95" s="98"/>
      <c r="G95" s="98"/>
      <c r="H95" s="98"/>
      <c r="I95" s="98"/>
      <c r="J95" s="98"/>
      <c r="K95" s="119"/>
    </row>
    <row r="96" spans="1:39" ht="14.1" thickBot="1">
      <c r="A96" s="389" t="s">
        <v>146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33"/>
    </row>
    <row r="97" spans="1:17" s="98" customFormat="1" ht="14.1" thickBot="1">
      <c r="L97" s="114"/>
      <c r="M97" s="114"/>
      <c r="N97" s="114"/>
      <c r="O97" s="114"/>
    </row>
    <row r="98" spans="1:17" s="98" customFormat="1" ht="18.95" customHeight="1">
      <c r="A98" s="746"/>
      <c r="B98" s="783" t="s">
        <v>147</v>
      </c>
      <c r="C98" s="747"/>
      <c r="D98" s="747"/>
      <c r="E98" s="747"/>
      <c r="F98" s="747"/>
      <c r="G98" s="747"/>
      <c r="H98" s="747"/>
      <c r="I98" s="747"/>
      <c r="J98" s="747"/>
      <c r="K98" s="747"/>
      <c r="L98" s="747"/>
      <c r="M98" s="747"/>
      <c r="N98" s="747"/>
      <c r="O98" s="747"/>
      <c r="P98" s="747"/>
      <c r="Q98" s="748"/>
    </row>
    <row r="99" spans="1:17" s="98" customFormat="1">
      <c r="A99" s="735"/>
      <c r="B99" s="736" t="s">
        <v>148</v>
      </c>
      <c r="C99" s="737"/>
      <c r="D99" s="737"/>
      <c r="E99" s="737"/>
      <c r="F99" s="737"/>
      <c r="G99" s="737"/>
      <c r="H99" s="737"/>
      <c r="I99" s="737"/>
      <c r="J99" s="737"/>
      <c r="K99" s="737"/>
      <c r="L99" s="738"/>
      <c r="M99" s="738"/>
      <c r="N99" s="738"/>
      <c r="O99" s="738"/>
      <c r="P99" s="737"/>
      <c r="Q99" s="739"/>
    </row>
    <row r="100" spans="1:17" s="98" customFormat="1">
      <c r="A100" s="735"/>
      <c r="B100" s="737"/>
      <c r="C100" s="737"/>
      <c r="D100" s="737"/>
      <c r="E100" s="737"/>
      <c r="F100" s="737"/>
      <c r="G100" s="737"/>
      <c r="H100" s="737"/>
      <c r="I100" s="737"/>
      <c r="J100" s="737"/>
      <c r="K100" s="737"/>
      <c r="L100" s="738"/>
      <c r="M100" s="738"/>
      <c r="N100" s="738"/>
      <c r="O100" s="738"/>
      <c r="P100" s="737"/>
      <c r="Q100" s="739"/>
    </row>
    <row r="101" spans="1:17" s="98" customFormat="1">
      <c r="A101" s="735"/>
      <c r="B101" s="737"/>
      <c r="C101" s="737"/>
      <c r="D101" s="737"/>
      <c r="E101" s="737"/>
      <c r="F101" s="737"/>
      <c r="G101" s="737"/>
      <c r="H101" s="737"/>
      <c r="I101" s="737"/>
      <c r="J101" s="737"/>
      <c r="K101" s="737"/>
      <c r="L101" s="738"/>
      <c r="M101" s="738"/>
      <c r="N101" s="738"/>
      <c r="O101" s="738"/>
      <c r="P101" s="737"/>
      <c r="Q101" s="739"/>
    </row>
    <row r="102" spans="1:17" s="98" customFormat="1">
      <c r="A102" s="735"/>
      <c r="B102" s="737"/>
      <c r="C102" s="737"/>
      <c r="D102" s="737"/>
      <c r="E102" s="737"/>
      <c r="F102" s="737"/>
      <c r="G102" s="737"/>
      <c r="H102" s="737"/>
      <c r="I102" s="737"/>
      <c r="J102" s="737"/>
      <c r="K102" s="737"/>
      <c r="L102" s="738"/>
      <c r="M102" s="738"/>
      <c r="N102" s="738"/>
      <c r="O102" s="738"/>
      <c r="P102" s="737"/>
      <c r="Q102" s="739"/>
    </row>
    <row r="103" spans="1:17" s="98" customFormat="1">
      <c r="A103" s="735"/>
      <c r="B103" s="737"/>
      <c r="C103" s="737"/>
      <c r="D103" s="737"/>
      <c r="E103" s="737"/>
      <c r="F103" s="737"/>
      <c r="G103" s="737"/>
      <c r="H103" s="737"/>
      <c r="I103" s="737"/>
      <c r="J103" s="737"/>
      <c r="K103" s="737"/>
      <c r="L103" s="738"/>
      <c r="M103" s="738"/>
      <c r="N103" s="738"/>
      <c r="O103" s="738"/>
      <c r="P103" s="737"/>
      <c r="Q103" s="739"/>
    </row>
    <row r="104" spans="1:17" s="98" customFormat="1">
      <c r="A104" s="735"/>
      <c r="B104" s="737"/>
      <c r="C104" s="737"/>
      <c r="D104" s="737"/>
      <c r="E104" s="737"/>
      <c r="F104" s="737"/>
      <c r="G104" s="737"/>
      <c r="H104" s="737"/>
      <c r="I104" s="737"/>
      <c r="J104" s="737"/>
      <c r="K104" s="737"/>
      <c r="L104" s="738"/>
      <c r="M104" s="738"/>
      <c r="N104" s="738"/>
      <c r="O104" s="738"/>
      <c r="P104" s="737"/>
      <c r="Q104" s="739"/>
    </row>
    <row r="105" spans="1:17" s="98" customFormat="1">
      <c r="A105" s="735"/>
      <c r="B105" s="737"/>
      <c r="C105" s="737"/>
      <c r="D105" s="737"/>
      <c r="E105" s="737"/>
      <c r="F105" s="737"/>
      <c r="G105" s="737"/>
      <c r="H105" s="737"/>
      <c r="I105" s="737"/>
      <c r="J105" s="737"/>
      <c r="K105" s="737"/>
      <c r="L105" s="738"/>
      <c r="M105" s="738"/>
      <c r="N105" s="738"/>
      <c r="O105" s="738"/>
      <c r="P105" s="737"/>
      <c r="Q105" s="739"/>
    </row>
    <row r="106" spans="1:17" s="98" customFormat="1">
      <c r="A106" s="735"/>
      <c r="B106" s="737"/>
      <c r="C106" s="737"/>
      <c r="D106" s="737"/>
      <c r="E106" s="737"/>
      <c r="F106" s="737"/>
      <c r="G106" s="737"/>
      <c r="H106" s="737"/>
      <c r="I106" s="737"/>
      <c r="J106" s="737"/>
      <c r="K106" s="737"/>
      <c r="L106" s="738"/>
      <c r="M106" s="738"/>
      <c r="N106" s="738"/>
      <c r="O106" s="738"/>
      <c r="P106" s="737"/>
      <c r="Q106" s="739"/>
    </row>
    <row r="107" spans="1:17" s="98" customFormat="1">
      <c r="A107" s="735"/>
      <c r="B107" s="737"/>
      <c r="C107" s="737"/>
      <c r="D107" s="737"/>
      <c r="E107" s="737"/>
      <c r="F107" s="737"/>
      <c r="G107" s="737"/>
      <c r="H107" s="737"/>
      <c r="I107" s="737"/>
      <c r="J107" s="737"/>
      <c r="K107" s="737"/>
      <c r="L107" s="738"/>
      <c r="M107" s="738"/>
      <c r="N107" s="738"/>
      <c r="O107" s="738"/>
      <c r="P107" s="737"/>
      <c r="Q107" s="739"/>
    </row>
    <row r="108" spans="1:17" s="98" customFormat="1">
      <c r="A108" s="735"/>
      <c r="B108" s="737"/>
      <c r="C108" s="737"/>
      <c r="D108" s="737"/>
      <c r="E108" s="737"/>
      <c r="F108" s="737"/>
      <c r="G108" s="737"/>
      <c r="H108" s="737"/>
      <c r="I108" s="737"/>
      <c r="J108" s="737"/>
      <c r="K108" s="737"/>
      <c r="L108" s="738"/>
      <c r="M108" s="738"/>
      <c r="N108" s="738"/>
      <c r="O108" s="738"/>
      <c r="P108" s="737"/>
      <c r="Q108" s="739"/>
    </row>
    <row r="109" spans="1:17" s="98" customFormat="1">
      <c r="A109" s="735"/>
      <c r="B109" s="737"/>
      <c r="C109" s="737"/>
      <c r="D109" s="737"/>
      <c r="E109" s="737"/>
      <c r="F109" s="737"/>
      <c r="G109" s="737"/>
      <c r="H109" s="737"/>
      <c r="I109" s="737"/>
      <c r="J109" s="737"/>
      <c r="K109" s="737"/>
      <c r="L109" s="738"/>
      <c r="M109" s="738"/>
      <c r="N109" s="738"/>
      <c r="O109" s="738"/>
      <c r="P109" s="737"/>
      <c r="Q109" s="739"/>
    </row>
    <row r="110" spans="1:17" s="98" customFormat="1">
      <c r="A110" s="735"/>
      <c r="B110" s="737"/>
      <c r="C110" s="737"/>
      <c r="D110" s="737"/>
      <c r="E110" s="737"/>
      <c r="F110" s="737"/>
      <c r="G110" s="737"/>
      <c r="H110" s="737"/>
      <c r="I110" s="737"/>
      <c r="J110" s="737"/>
      <c r="K110" s="737"/>
      <c r="L110" s="738"/>
      <c r="M110" s="738"/>
      <c r="N110" s="738"/>
      <c r="O110" s="738"/>
      <c r="P110" s="737"/>
      <c r="Q110" s="739"/>
    </row>
    <row r="111" spans="1:17" s="98" customFormat="1">
      <c r="A111" s="735"/>
      <c r="B111" s="737"/>
      <c r="C111" s="737"/>
      <c r="D111" s="737"/>
      <c r="E111" s="737"/>
      <c r="F111" s="737"/>
      <c r="G111" s="737"/>
      <c r="H111" s="737"/>
      <c r="I111" s="737"/>
      <c r="J111" s="737"/>
      <c r="K111" s="737"/>
      <c r="L111" s="738"/>
      <c r="M111" s="738"/>
      <c r="N111" s="738"/>
      <c r="O111" s="738"/>
      <c r="P111" s="737"/>
      <c r="Q111" s="739"/>
    </row>
    <row r="112" spans="1:17" s="98" customFormat="1">
      <c r="A112" s="735"/>
      <c r="B112" s="737"/>
      <c r="C112" s="737"/>
      <c r="D112" s="737"/>
      <c r="E112" s="737"/>
      <c r="F112" s="737"/>
      <c r="G112" s="737"/>
      <c r="H112" s="737"/>
      <c r="I112" s="737"/>
      <c r="J112" s="737"/>
      <c r="K112" s="737"/>
      <c r="L112" s="738"/>
      <c r="M112" s="738"/>
      <c r="N112" s="738"/>
      <c r="O112" s="738"/>
      <c r="P112" s="737"/>
      <c r="Q112" s="739"/>
    </row>
    <row r="113" spans="1:17" s="98" customFormat="1">
      <c r="A113" s="735"/>
      <c r="B113" s="737"/>
      <c r="C113" s="737"/>
      <c r="D113" s="737"/>
      <c r="E113" s="737"/>
      <c r="F113" s="737"/>
      <c r="G113" s="737"/>
      <c r="H113" s="737"/>
      <c r="I113" s="737"/>
      <c r="J113" s="737"/>
      <c r="K113" s="737"/>
      <c r="L113" s="738"/>
      <c r="M113" s="738"/>
      <c r="N113" s="738"/>
      <c r="O113" s="738"/>
      <c r="P113" s="737"/>
      <c r="Q113" s="739"/>
    </row>
    <row r="114" spans="1:17" s="98" customFormat="1">
      <c r="A114" s="735"/>
      <c r="B114" s="737"/>
      <c r="C114" s="737"/>
      <c r="D114" s="737"/>
      <c r="E114" s="737"/>
      <c r="F114" s="737"/>
      <c r="G114" s="737"/>
      <c r="H114" s="737"/>
      <c r="I114" s="737"/>
      <c r="J114" s="737"/>
      <c r="K114" s="737"/>
      <c r="L114" s="738"/>
      <c r="M114" s="738"/>
      <c r="N114" s="738"/>
      <c r="O114" s="738"/>
      <c r="P114" s="737"/>
      <c r="Q114" s="739"/>
    </row>
    <row r="115" spans="1:17" s="98" customFormat="1">
      <c r="A115" s="735"/>
      <c r="B115" s="737"/>
      <c r="C115" s="737"/>
      <c r="D115" s="737"/>
      <c r="E115" s="737"/>
      <c r="F115" s="737"/>
      <c r="G115" s="737"/>
      <c r="H115" s="737"/>
      <c r="I115" s="737"/>
      <c r="J115" s="737"/>
      <c r="K115" s="737"/>
      <c r="L115" s="738"/>
      <c r="M115" s="738"/>
      <c r="N115" s="738"/>
      <c r="O115" s="738"/>
      <c r="P115" s="737"/>
      <c r="Q115" s="739"/>
    </row>
    <row r="116" spans="1:17" s="98" customFormat="1">
      <c r="A116" s="735"/>
      <c r="B116" s="737"/>
      <c r="C116" s="737"/>
      <c r="D116" s="737"/>
      <c r="E116" s="737"/>
      <c r="F116" s="737"/>
      <c r="G116" s="737"/>
      <c r="H116" s="737"/>
      <c r="I116" s="737"/>
      <c r="J116" s="737"/>
      <c r="K116" s="737"/>
      <c r="L116" s="738"/>
      <c r="M116" s="738"/>
      <c r="N116" s="738"/>
      <c r="O116" s="738"/>
      <c r="P116" s="737"/>
      <c r="Q116" s="739"/>
    </row>
    <row r="117" spans="1:17" s="98" customFormat="1">
      <c r="A117" s="735"/>
      <c r="B117" s="737"/>
      <c r="C117" s="737"/>
      <c r="D117" s="737"/>
      <c r="E117" s="737"/>
      <c r="F117" s="737"/>
      <c r="G117" s="737"/>
      <c r="H117" s="737"/>
      <c r="I117" s="737"/>
      <c r="J117" s="737"/>
      <c r="K117" s="737"/>
      <c r="L117" s="738"/>
      <c r="M117" s="738"/>
      <c r="N117" s="738"/>
      <c r="O117" s="738"/>
      <c r="P117" s="737"/>
      <c r="Q117" s="739"/>
    </row>
    <row r="118" spans="1:17" s="98" customFormat="1">
      <c r="A118" s="735"/>
      <c r="B118" s="737"/>
      <c r="C118" s="737"/>
      <c r="D118" s="737"/>
      <c r="E118" s="737"/>
      <c r="F118" s="737"/>
      <c r="G118" s="737"/>
      <c r="H118" s="737"/>
      <c r="I118" s="737"/>
      <c r="J118" s="737"/>
      <c r="K118" s="737"/>
      <c r="L118" s="738"/>
      <c r="M118" s="738"/>
      <c r="N118" s="738"/>
      <c r="O118" s="738"/>
      <c r="P118" s="737"/>
      <c r="Q118" s="739"/>
    </row>
    <row r="119" spans="1:17" s="98" customFormat="1">
      <c r="A119" s="735"/>
      <c r="B119" s="737"/>
      <c r="C119" s="737"/>
      <c r="D119" s="737"/>
      <c r="E119" s="737"/>
      <c r="F119" s="737"/>
      <c r="G119" s="737"/>
      <c r="H119" s="737"/>
      <c r="I119" s="737"/>
      <c r="J119" s="737"/>
      <c r="K119" s="737"/>
      <c r="L119" s="738"/>
      <c r="M119" s="738"/>
      <c r="N119" s="738"/>
      <c r="O119" s="738"/>
      <c r="P119" s="737"/>
      <c r="Q119" s="739"/>
    </row>
    <row r="120" spans="1:17" s="98" customFormat="1">
      <c r="A120" s="735"/>
      <c r="B120" s="737"/>
      <c r="C120" s="737"/>
      <c r="D120" s="737"/>
      <c r="E120" s="737"/>
      <c r="F120" s="737"/>
      <c r="G120" s="737"/>
      <c r="H120" s="737"/>
      <c r="I120" s="737"/>
      <c r="J120" s="737"/>
      <c r="K120" s="737"/>
      <c r="L120" s="738"/>
      <c r="M120" s="738"/>
      <c r="N120" s="738"/>
      <c r="O120" s="738"/>
      <c r="P120" s="737"/>
      <c r="Q120" s="739"/>
    </row>
    <row r="121" spans="1:17" s="98" customFormat="1">
      <c r="A121" s="735"/>
      <c r="B121" s="737"/>
      <c r="C121" s="737"/>
      <c r="D121" s="737"/>
      <c r="E121" s="737"/>
      <c r="F121" s="737"/>
      <c r="G121" s="737"/>
      <c r="H121" s="737"/>
      <c r="I121" s="737"/>
      <c r="J121" s="737"/>
      <c r="K121" s="737"/>
      <c r="L121" s="738"/>
      <c r="M121" s="738"/>
      <c r="N121" s="738"/>
      <c r="O121" s="738"/>
      <c r="P121" s="737"/>
      <c r="Q121" s="739"/>
    </row>
    <row r="122" spans="1:17" s="98" customFormat="1">
      <c r="A122" s="735"/>
      <c r="B122" s="737"/>
      <c r="C122" s="737"/>
      <c r="D122" s="737"/>
      <c r="E122" s="737"/>
      <c r="F122" s="737"/>
      <c r="G122" s="737"/>
      <c r="H122" s="737"/>
      <c r="I122" s="737"/>
      <c r="J122" s="737"/>
      <c r="K122" s="737"/>
      <c r="L122" s="738"/>
      <c r="M122" s="738"/>
      <c r="N122" s="738"/>
      <c r="O122" s="738"/>
      <c r="P122" s="737"/>
      <c r="Q122" s="739"/>
    </row>
    <row r="123" spans="1:17" s="98" customFormat="1">
      <c r="A123" s="735"/>
      <c r="B123" s="737"/>
      <c r="C123" s="737"/>
      <c r="D123" s="737"/>
      <c r="E123" s="737"/>
      <c r="F123" s="737"/>
      <c r="G123" s="737"/>
      <c r="H123" s="737"/>
      <c r="I123" s="737"/>
      <c r="J123" s="737"/>
      <c r="K123" s="737"/>
      <c r="L123" s="738"/>
      <c r="M123" s="738"/>
      <c r="N123" s="738"/>
      <c r="O123" s="738"/>
      <c r="P123" s="737"/>
      <c r="Q123" s="739"/>
    </row>
    <row r="124" spans="1:17" s="98" customFormat="1">
      <c r="A124" s="735"/>
      <c r="B124" s="737"/>
      <c r="C124" s="737"/>
      <c r="D124" s="737"/>
      <c r="E124" s="737"/>
      <c r="F124" s="737"/>
      <c r="G124" s="737"/>
      <c r="H124" s="737"/>
      <c r="I124" s="737"/>
      <c r="J124" s="737"/>
      <c r="K124" s="737"/>
      <c r="L124" s="738"/>
      <c r="M124" s="738"/>
      <c r="N124" s="738"/>
      <c r="O124" s="738"/>
      <c r="P124" s="737"/>
      <c r="Q124" s="739"/>
    </row>
    <row r="125" spans="1:17" s="98" customFormat="1">
      <c r="A125" s="735"/>
      <c r="B125" s="737"/>
      <c r="C125" s="737"/>
      <c r="D125" s="737"/>
      <c r="E125" s="737"/>
      <c r="F125" s="737"/>
      <c r="G125" s="737"/>
      <c r="H125" s="737"/>
      <c r="I125" s="737"/>
      <c r="J125" s="737"/>
      <c r="K125" s="737"/>
      <c r="L125" s="738"/>
      <c r="M125" s="738"/>
      <c r="N125" s="738"/>
      <c r="O125" s="738"/>
      <c r="P125" s="737"/>
      <c r="Q125" s="739"/>
    </row>
    <row r="126" spans="1:17" s="98" customFormat="1">
      <c r="A126" s="735"/>
      <c r="B126" s="737"/>
      <c r="C126" s="737"/>
      <c r="D126" s="737"/>
      <c r="E126" s="737"/>
      <c r="F126" s="737"/>
      <c r="G126" s="737"/>
      <c r="H126" s="737"/>
      <c r="I126" s="737"/>
      <c r="J126" s="737"/>
      <c r="K126" s="737"/>
      <c r="L126" s="738"/>
      <c r="M126" s="738"/>
      <c r="N126" s="738"/>
      <c r="O126" s="738"/>
      <c r="P126" s="737"/>
      <c r="Q126" s="739"/>
    </row>
    <row r="127" spans="1:17" s="98" customFormat="1">
      <c r="A127" s="735"/>
      <c r="B127" s="737"/>
      <c r="C127" s="737"/>
      <c r="D127" s="737"/>
      <c r="E127" s="737"/>
      <c r="F127" s="737"/>
      <c r="G127" s="737"/>
      <c r="H127" s="737"/>
      <c r="I127" s="737"/>
      <c r="J127" s="737"/>
      <c r="K127" s="737"/>
      <c r="L127" s="738"/>
      <c r="M127" s="738"/>
      <c r="N127" s="738"/>
      <c r="O127" s="738"/>
      <c r="P127" s="737"/>
      <c r="Q127" s="739"/>
    </row>
    <row r="128" spans="1:17" s="98" customFormat="1">
      <c r="A128" s="735"/>
      <c r="B128" s="737"/>
      <c r="C128" s="737"/>
      <c r="D128" s="737"/>
      <c r="E128" s="737"/>
      <c r="F128" s="737"/>
      <c r="G128" s="737"/>
      <c r="H128" s="737"/>
      <c r="I128" s="737"/>
      <c r="J128" s="737"/>
      <c r="K128" s="737"/>
      <c r="L128" s="738"/>
      <c r="M128" s="738"/>
      <c r="N128" s="738"/>
      <c r="O128" s="738"/>
      <c r="P128" s="737"/>
      <c r="Q128" s="739"/>
    </row>
    <row r="129" spans="1:17" s="98" customFormat="1">
      <c r="A129" s="735"/>
      <c r="B129" s="737"/>
      <c r="C129" s="737"/>
      <c r="D129" s="737"/>
      <c r="E129" s="737"/>
      <c r="F129" s="737"/>
      <c r="G129" s="737"/>
      <c r="H129" s="737"/>
      <c r="I129" s="737"/>
      <c r="J129" s="737"/>
      <c r="K129" s="737"/>
      <c r="L129" s="738"/>
      <c r="M129" s="738"/>
      <c r="N129" s="738"/>
      <c r="O129" s="738"/>
      <c r="P129" s="737"/>
      <c r="Q129" s="739"/>
    </row>
    <row r="130" spans="1:17" s="98" customFormat="1">
      <c r="A130" s="735"/>
      <c r="B130" s="737"/>
      <c r="C130" s="737"/>
      <c r="D130" s="737"/>
      <c r="E130" s="737"/>
      <c r="F130" s="737"/>
      <c r="G130" s="737"/>
      <c r="H130" s="737"/>
      <c r="I130" s="737"/>
      <c r="J130" s="737"/>
      <c r="K130" s="737"/>
      <c r="L130" s="738"/>
      <c r="M130" s="738"/>
      <c r="N130" s="738"/>
      <c r="O130" s="738"/>
      <c r="P130" s="737"/>
      <c r="Q130" s="739"/>
    </row>
    <row r="131" spans="1:17" s="98" customFormat="1">
      <c r="A131" s="735"/>
      <c r="B131" s="737"/>
      <c r="C131" s="737"/>
      <c r="D131" s="737"/>
      <c r="E131" s="737"/>
      <c r="F131" s="737"/>
      <c r="G131" s="737"/>
      <c r="H131" s="737"/>
      <c r="I131" s="737"/>
      <c r="J131" s="737"/>
      <c r="K131" s="737"/>
      <c r="L131" s="738"/>
      <c r="M131" s="738"/>
      <c r="N131" s="738"/>
      <c r="O131" s="738"/>
      <c r="P131" s="737"/>
      <c r="Q131" s="739"/>
    </row>
    <row r="132" spans="1:17" s="98" customFormat="1">
      <c r="A132" s="735"/>
      <c r="B132" s="737"/>
      <c r="C132" s="737"/>
      <c r="D132" s="737"/>
      <c r="E132" s="737"/>
      <c r="F132" s="737"/>
      <c r="G132" s="737"/>
      <c r="H132" s="737"/>
      <c r="I132" s="737"/>
      <c r="J132" s="737"/>
      <c r="K132" s="737"/>
      <c r="L132" s="738"/>
      <c r="M132" s="738"/>
      <c r="N132" s="738"/>
      <c r="O132" s="738"/>
      <c r="P132" s="737"/>
      <c r="Q132" s="739"/>
    </row>
    <row r="133" spans="1:17" s="98" customFormat="1">
      <c r="A133" s="735"/>
      <c r="B133" s="737"/>
      <c r="C133" s="737"/>
      <c r="D133" s="737"/>
      <c r="E133" s="737"/>
      <c r="F133" s="737"/>
      <c r="G133" s="737"/>
      <c r="H133" s="737"/>
      <c r="I133" s="737"/>
      <c r="J133" s="737"/>
      <c r="K133" s="737"/>
      <c r="L133" s="738"/>
      <c r="M133" s="738"/>
      <c r="N133" s="738"/>
      <c r="O133" s="738"/>
      <c r="P133" s="737"/>
      <c r="Q133" s="739"/>
    </row>
    <row r="134" spans="1:17" s="98" customFormat="1">
      <c r="A134" s="735"/>
      <c r="B134" s="737"/>
      <c r="C134" s="737"/>
      <c r="D134" s="737"/>
      <c r="E134" s="737"/>
      <c r="F134" s="737"/>
      <c r="G134" s="737"/>
      <c r="H134" s="737"/>
      <c r="I134" s="737"/>
      <c r="J134" s="737"/>
      <c r="K134" s="737"/>
      <c r="L134" s="738"/>
      <c r="M134" s="738"/>
      <c r="N134" s="738"/>
      <c r="O134" s="738"/>
      <c r="P134" s="737"/>
      <c r="Q134" s="739"/>
    </row>
    <row r="135" spans="1:17" s="98" customFormat="1">
      <c r="A135" s="735"/>
      <c r="B135" s="737"/>
      <c r="C135" s="737"/>
      <c r="D135" s="737"/>
      <c r="E135" s="737"/>
      <c r="F135" s="737"/>
      <c r="G135" s="737"/>
      <c r="H135" s="737"/>
      <c r="I135" s="737"/>
      <c r="J135" s="737"/>
      <c r="K135" s="737"/>
      <c r="L135" s="738"/>
      <c r="M135" s="738"/>
      <c r="N135" s="738"/>
      <c r="O135" s="738"/>
      <c r="P135" s="737"/>
      <c r="Q135" s="739"/>
    </row>
    <row r="136" spans="1:17" s="98" customFormat="1">
      <c r="A136" s="735"/>
      <c r="B136" s="737"/>
      <c r="C136" s="737"/>
      <c r="D136" s="737"/>
      <c r="E136" s="737"/>
      <c r="F136" s="737"/>
      <c r="G136" s="737"/>
      <c r="H136" s="737"/>
      <c r="I136" s="737"/>
      <c r="J136" s="737"/>
      <c r="K136" s="737"/>
      <c r="L136" s="738"/>
      <c r="M136" s="738"/>
      <c r="N136" s="738"/>
      <c r="O136" s="738"/>
      <c r="P136" s="737"/>
      <c r="Q136" s="739"/>
    </row>
    <row r="137" spans="1:17" s="98" customFormat="1">
      <c r="A137" s="735"/>
      <c r="B137" s="737"/>
      <c r="C137" s="737"/>
      <c r="D137" s="737"/>
      <c r="E137" s="737"/>
      <c r="F137" s="737"/>
      <c r="G137" s="737"/>
      <c r="H137" s="737"/>
      <c r="I137" s="737"/>
      <c r="J137" s="737"/>
      <c r="K137" s="737"/>
      <c r="L137" s="738"/>
      <c r="M137" s="738"/>
      <c r="N137" s="738"/>
      <c r="O137" s="738"/>
      <c r="P137" s="737"/>
      <c r="Q137" s="739"/>
    </row>
    <row r="138" spans="1:17" s="98" customFormat="1">
      <c r="A138" s="735"/>
      <c r="B138" s="737"/>
      <c r="C138" s="737"/>
      <c r="D138" s="737"/>
      <c r="E138" s="737"/>
      <c r="F138" s="737"/>
      <c r="G138" s="737"/>
      <c r="H138" s="737"/>
      <c r="I138" s="737"/>
      <c r="J138" s="737"/>
      <c r="K138" s="737"/>
      <c r="L138" s="738"/>
      <c r="M138" s="738"/>
      <c r="N138" s="738"/>
      <c r="O138" s="738"/>
      <c r="P138" s="737"/>
      <c r="Q138" s="739"/>
    </row>
    <row r="139" spans="1:17" s="98" customFormat="1">
      <c r="A139" s="735"/>
      <c r="B139" s="737"/>
      <c r="C139" s="737"/>
      <c r="D139" s="737"/>
      <c r="E139" s="737"/>
      <c r="F139" s="737"/>
      <c r="G139" s="737"/>
      <c r="H139" s="737"/>
      <c r="I139" s="737"/>
      <c r="J139" s="737"/>
      <c r="K139" s="737"/>
      <c r="L139" s="738"/>
      <c r="M139" s="738"/>
      <c r="N139" s="738"/>
      <c r="O139" s="738"/>
      <c r="P139" s="737"/>
      <c r="Q139" s="739"/>
    </row>
    <row r="140" spans="1:17" s="98" customFormat="1">
      <c r="A140" s="735"/>
      <c r="B140" s="737"/>
      <c r="C140" s="737"/>
      <c r="D140" s="737"/>
      <c r="E140" s="737"/>
      <c r="F140" s="737"/>
      <c r="G140" s="737"/>
      <c r="H140" s="737"/>
      <c r="I140" s="737"/>
      <c r="J140" s="737"/>
      <c r="K140" s="737"/>
      <c r="L140" s="738"/>
      <c r="M140" s="738"/>
      <c r="N140" s="738"/>
      <c r="O140" s="738"/>
      <c r="P140" s="737"/>
      <c r="Q140" s="739"/>
    </row>
    <row r="141" spans="1:17" s="98" customFormat="1">
      <c r="A141" s="735"/>
      <c r="B141" s="417"/>
      <c r="C141" s="417"/>
      <c r="D141" s="417"/>
      <c r="E141" s="737"/>
      <c r="F141" s="737"/>
      <c r="G141" s="737"/>
      <c r="H141" s="737"/>
      <c r="I141" s="737"/>
      <c r="J141" s="737"/>
      <c r="K141" s="737"/>
      <c r="L141" s="738"/>
      <c r="M141" s="738"/>
      <c r="N141" s="738"/>
      <c r="O141" s="738"/>
      <c r="P141" s="737"/>
      <c r="Q141" s="739"/>
    </row>
    <row r="142" spans="1:17" s="98" customFormat="1">
      <c r="A142" s="735"/>
      <c r="B142" s="417"/>
      <c r="C142" s="417"/>
      <c r="D142" s="417"/>
      <c r="E142" s="737"/>
      <c r="F142" s="737"/>
      <c r="G142" s="737"/>
      <c r="H142" s="737"/>
      <c r="I142" s="737"/>
      <c r="J142" s="737"/>
      <c r="K142" s="737"/>
      <c r="L142" s="738"/>
      <c r="M142" s="738"/>
      <c r="N142" s="738"/>
      <c r="O142" s="738"/>
      <c r="P142" s="737"/>
      <c r="Q142" s="739"/>
    </row>
    <row r="143" spans="1:17" s="98" customFormat="1">
      <c r="A143" s="735"/>
      <c r="B143" s="737"/>
      <c r="C143" s="737"/>
      <c r="D143" s="417"/>
      <c r="E143" s="737"/>
      <c r="F143" s="737"/>
      <c r="G143" s="737"/>
      <c r="H143" s="737"/>
      <c r="I143" s="737"/>
      <c r="J143" s="737"/>
      <c r="K143" s="737"/>
      <c r="L143" s="738"/>
      <c r="M143" s="738"/>
      <c r="N143" s="738"/>
      <c r="O143" s="738"/>
      <c r="P143" s="737"/>
      <c r="Q143" s="739"/>
    </row>
    <row r="144" spans="1:17" s="98" customFormat="1">
      <c r="A144" s="735"/>
      <c r="B144" s="737"/>
      <c r="C144" s="737"/>
      <c r="D144" s="417"/>
      <c r="E144" s="737"/>
      <c r="F144" s="737"/>
      <c r="G144" s="737"/>
      <c r="H144" s="737"/>
      <c r="I144" s="737"/>
      <c r="J144" s="737"/>
      <c r="K144" s="737"/>
      <c r="L144" s="738"/>
      <c r="M144" s="738"/>
      <c r="N144" s="738"/>
      <c r="O144" s="738"/>
      <c r="P144" s="737"/>
      <c r="Q144" s="739"/>
    </row>
    <row r="145" spans="1:17" s="98" customFormat="1">
      <c r="A145" s="735"/>
      <c r="B145" s="737"/>
      <c r="C145" s="737"/>
      <c r="D145" s="417"/>
      <c r="E145" s="737"/>
      <c r="F145" s="737"/>
      <c r="G145" s="737"/>
      <c r="H145" s="737"/>
      <c r="I145" s="740" t="s">
        <v>149</v>
      </c>
      <c r="J145" s="737"/>
      <c r="K145" s="737"/>
      <c r="L145" s="737"/>
      <c r="M145" s="738"/>
      <c r="N145" s="738"/>
      <c r="O145" s="738"/>
      <c r="P145" s="737"/>
      <c r="Q145" s="739"/>
    </row>
    <row r="146" spans="1:17" s="98" customFormat="1">
      <c r="A146" s="735"/>
      <c r="B146" s="737"/>
      <c r="C146" s="737"/>
      <c r="D146" s="417"/>
      <c r="E146" s="737"/>
      <c r="F146" s="737"/>
      <c r="G146" s="737"/>
      <c r="H146" s="737"/>
      <c r="I146" s="737"/>
      <c r="J146" s="737"/>
      <c r="K146" s="737"/>
      <c r="L146" s="737"/>
      <c r="M146" s="738"/>
      <c r="N146" s="738"/>
      <c r="O146" s="738"/>
      <c r="P146" s="737"/>
      <c r="Q146" s="739"/>
    </row>
    <row r="147" spans="1:17" s="98" customFormat="1">
      <c r="A147" s="735"/>
      <c r="B147" s="737"/>
      <c r="C147" s="737"/>
      <c r="D147" s="417"/>
      <c r="E147" s="737"/>
      <c r="F147" s="737"/>
      <c r="G147" s="737"/>
      <c r="H147" s="737"/>
      <c r="I147" s="737"/>
      <c r="J147" s="737"/>
      <c r="K147" s="737"/>
      <c r="L147" s="737"/>
      <c r="M147" s="738"/>
      <c r="N147" s="738"/>
      <c r="O147" s="738"/>
      <c r="P147" s="737"/>
      <c r="Q147" s="739"/>
    </row>
    <row r="148" spans="1:17" s="98" customFormat="1">
      <c r="A148" s="735"/>
      <c r="B148" s="749" t="s">
        <v>150</v>
      </c>
      <c r="C148" s="417"/>
      <c r="D148" s="417"/>
      <c r="E148" s="737"/>
      <c r="F148" s="737"/>
      <c r="G148" s="737"/>
      <c r="H148" s="737"/>
      <c r="I148" s="737"/>
      <c r="J148" s="737"/>
      <c r="K148" s="737"/>
      <c r="L148" s="737"/>
      <c r="M148" s="738"/>
      <c r="N148" s="738"/>
      <c r="O148" s="738"/>
      <c r="P148" s="737"/>
      <c r="Q148" s="739"/>
    </row>
    <row r="149" spans="1:17" s="98" customFormat="1">
      <c r="A149" s="735"/>
      <c r="B149" s="740" t="s">
        <v>151</v>
      </c>
      <c r="C149" s="737"/>
      <c r="D149" s="737"/>
      <c r="E149" s="737"/>
      <c r="F149" s="417"/>
      <c r="G149" s="417"/>
      <c r="H149" s="737"/>
      <c r="I149" s="737"/>
      <c r="J149" s="737"/>
      <c r="K149" s="737"/>
      <c r="L149" s="737"/>
      <c r="M149" s="738"/>
      <c r="N149" s="738"/>
      <c r="O149" s="738"/>
      <c r="P149" s="737"/>
      <c r="Q149" s="739"/>
    </row>
    <row r="150" spans="1:17" s="98" customFormat="1">
      <c r="A150" s="735"/>
      <c r="B150" s="740" t="s">
        <v>152</v>
      </c>
      <c r="C150" s="737"/>
      <c r="D150" s="737"/>
      <c r="E150" s="737"/>
      <c r="F150" s="417"/>
      <c r="G150" s="417"/>
      <c r="H150" s="737"/>
      <c r="I150" s="737"/>
      <c r="J150" s="737"/>
      <c r="K150" s="737"/>
      <c r="L150" s="737"/>
      <c r="M150" s="738"/>
      <c r="N150" s="738"/>
      <c r="O150" s="738"/>
      <c r="P150" s="737"/>
      <c r="Q150" s="739"/>
    </row>
    <row r="151" spans="1:17" s="98" customFormat="1">
      <c r="A151" s="735"/>
      <c r="B151" s="740" t="s">
        <v>153</v>
      </c>
      <c r="C151" s="737"/>
      <c r="D151" s="737"/>
      <c r="E151" s="737"/>
      <c r="F151" s="417"/>
      <c r="G151" s="417"/>
      <c r="H151" s="737"/>
      <c r="I151" s="737"/>
      <c r="J151" s="737"/>
      <c r="K151" s="737"/>
      <c r="L151" s="737"/>
      <c r="M151" s="738"/>
      <c r="N151" s="738"/>
      <c r="O151" s="738"/>
      <c r="P151" s="737"/>
      <c r="Q151" s="739"/>
    </row>
    <row r="152" spans="1:17" s="98" customFormat="1">
      <c r="A152" s="735"/>
      <c r="B152" s="734"/>
      <c r="C152" s="774" t="s">
        <v>154</v>
      </c>
      <c r="D152" s="774" t="s">
        <v>155</v>
      </c>
      <c r="E152" s="774" t="s">
        <v>156</v>
      </c>
      <c r="F152" s="417"/>
      <c r="G152" s="417"/>
      <c r="H152" s="737"/>
      <c r="I152" s="737"/>
      <c r="J152" s="737"/>
      <c r="K152" s="737"/>
      <c r="L152" s="737"/>
      <c r="M152" s="738"/>
      <c r="N152" s="738"/>
      <c r="O152" s="738"/>
      <c r="P152" s="737"/>
      <c r="Q152" s="739"/>
    </row>
    <row r="153" spans="1:17" s="98" customFormat="1">
      <c r="A153" s="735"/>
      <c r="B153" s="718" t="str">
        <f>F65</f>
        <v>Infantes</v>
      </c>
      <c r="C153" s="761"/>
      <c r="D153" s="762"/>
      <c r="E153" s="763"/>
      <c r="F153" s="417"/>
      <c r="G153" s="417"/>
      <c r="H153" s="737"/>
      <c r="I153" s="737"/>
      <c r="J153" s="737"/>
      <c r="K153" s="737"/>
      <c r="L153" s="737"/>
      <c r="M153" s="738"/>
      <c r="N153" s="738"/>
      <c r="O153" s="738"/>
      <c r="P153" s="737"/>
      <c r="Q153" s="739"/>
    </row>
    <row r="154" spans="1:17" s="98" customFormat="1">
      <c r="A154" s="735"/>
      <c r="B154" s="718" t="str">
        <f t="shared" ref="B154:B158" si="12">F66</f>
        <v>Niños pequeños</v>
      </c>
      <c r="C154" s="761"/>
      <c r="D154" s="762"/>
      <c r="E154" s="763"/>
      <c r="F154" s="417"/>
      <c r="G154" s="417"/>
      <c r="H154" s="737"/>
      <c r="I154" s="737"/>
      <c r="J154" s="737"/>
      <c r="K154" s="737"/>
      <c r="L154" s="737"/>
      <c r="M154" s="738"/>
      <c r="N154" s="738"/>
      <c r="O154" s="738"/>
      <c r="P154" s="737"/>
      <c r="Q154" s="739"/>
    </row>
    <row r="155" spans="1:17" s="98" customFormat="1">
      <c r="A155" s="735"/>
      <c r="B155" s="718" t="str">
        <f t="shared" si="12"/>
        <v>2 años de edad</v>
      </c>
      <c r="C155" s="761"/>
      <c r="D155" s="762"/>
      <c r="E155" s="763"/>
      <c r="F155" s="417"/>
      <c r="G155" s="417"/>
      <c r="H155" s="737"/>
      <c r="I155" s="737"/>
      <c r="J155" s="737"/>
      <c r="K155" s="737"/>
      <c r="L155" s="737"/>
      <c r="M155" s="738"/>
      <c r="N155" s="738"/>
      <c r="O155" s="738"/>
      <c r="P155" s="737"/>
      <c r="Q155" s="739"/>
    </row>
    <row r="156" spans="1:17" s="98" customFormat="1">
      <c r="A156" s="735"/>
      <c r="B156" s="718" t="str">
        <f t="shared" si="12"/>
        <v>3 años de edad</v>
      </c>
      <c r="C156" s="761"/>
      <c r="D156" s="762"/>
      <c r="E156" s="763"/>
      <c r="F156" s="417"/>
      <c r="G156" s="417"/>
      <c r="H156" s="737"/>
      <c r="I156" s="737"/>
      <c r="J156" s="737"/>
      <c r="K156" s="737"/>
      <c r="L156" s="737"/>
      <c r="M156" s="738"/>
      <c r="N156" s="738"/>
      <c r="O156" s="738"/>
      <c r="P156" s="737"/>
      <c r="Q156" s="739"/>
    </row>
    <row r="157" spans="1:17" s="98" customFormat="1">
      <c r="A157" s="735"/>
      <c r="B157" s="718" t="str">
        <f t="shared" si="12"/>
        <v>4-5 años de edad</v>
      </c>
      <c r="C157" s="761"/>
      <c r="D157" s="762"/>
      <c r="E157" s="763"/>
      <c r="F157" s="417"/>
      <c r="G157" s="417"/>
      <c r="H157" s="737"/>
      <c r="I157" s="737"/>
      <c r="J157" s="737"/>
      <c r="K157" s="737"/>
      <c r="L157" s="737"/>
      <c r="M157" s="738"/>
      <c r="N157" s="738"/>
      <c r="O157" s="738"/>
      <c r="P157" s="737"/>
      <c r="Q157" s="739"/>
    </row>
    <row r="158" spans="1:17" s="98" customFormat="1">
      <c r="A158" s="735"/>
      <c r="B158" s="718" t="str">
        <f t="shared" si="12"/>
        <v>Edad escolar</v>
      </c>
      <c r="C158" s="761"/>
      <c r="D158" s="762"/>
      <c r="E158" s="763"/>
      <c r="F158" s="417"/>
      <c r="G158" s="417"/>
      <c r="H158" s="737"/>
      <c r="I158" s="737"/>
      <c r="J158" s="737"/>
      <c r="K158" s="737"/>
      <c r="L158" s="737"/>
      <c r="M158" s="738"/>
      <c r="N158" s="738"/>
      <c r="O158" s="738"/>
      <c r="P158" s="737"/>
      <c r="Q158" s="739"/>
    </row>
    <row r="159" spans="1:17" s="98" customFormat="1">
      <c r="A159" s="735"/>
      <c r="B159" s="417"/>
      <c r="C159" s="417"/>
      <c r="D159" s="417"/>
      <c r="E159" s="417"/>
      <c r="F159" s="417"/>
      <c r="G159" s="417"/>
      <c r="H159" s="737"/>
      <c r="I159" s="737"/>
      <c r="J159" s="737"/>
      <c r="K159" s="737"/>
      <c r="L159" s="737"/>
      <c r="M159" s="738"/>
      <c r="N159" s="738"/>
      <c r="O159" s="738"/>
      <c r="P159" s="737"/>
      <c r="Q159" s="739"/>
    </row>
    <row r="160" spans="1:17" s="98" customFormat="1">
      <c r="A160" s="735"/>
      <c r="B160" s="775" t="s">
        <v>157</v>
      </c>
      <c r="C160" s="838"/>
      <c r="D160" s="838"/>
      <c r="E160" s="838"/>
      <c r="F160" s="417"/>
      <c r="G160" s="417"/>
      <c r="H160" s="737"/>
      <c r="I160" s="737"/>
      <c r="J160" s="737"/>
      <c r="K160" s="737"/>
      <c r="L160" s="737"/>
      <c r="M160" s="738"/>
      <c r="N160" s="738"/>
      <c r="O160" s="738"/>
      <c r="P160" s="737"/>
      <c r="Q160" s="739"/>
    </row>
    <row r="161" spans="1:17" s="98" customFormat="1">
      <c r="A161" s="735"/>
      <c r="B161" s="417"/>
      <c r="C161" s="838"/>
      <c r="D161" s="838"/>
      <c r="E161" s="838"/>
      <c r="F161" s="417"/>
      <c r="G161" s="417"/>
      <c r="H161" s="737"/>
      <c r="I161" s="737"/>
      <c r="J161" s="737"/>
      <c r="K161" s="737"/>
      <c r="L161" s="737"/>
      <c r="M161" s="738"/>
      <c r="N161" s="738"/>
      <c r="O161" s="738"/>
      <c r="P161" s="737"/>
      <c r="Q161" s="739"/>
    </row>
    <row r="162" spans="1:17" s="98" customFormat="1">
      <c r="A162" s="735"/>
      <c r="B162" s="417"/>
      <c r="C162" s="838"/>
      <c r="D162" s="838"/>
      <c r="E162" s="838"/>
      <c r="F162" s="417"/>
      <c r="G162" s="417"/>
      <c r="H162" s="737"/>
      <c r="I162" s="737"/>
      <c r="J162" s="737"/>
      <c r="K162" s="737"/>
      <c r="L162" s="738"/>
      <c r="M162" s="738"/>
      <c r="N162" s="738"/>
      <c r="O162" s="738"/>
      <c r="P162" s="737"/>
      <c r="Q162" s="739"/>
    </row>
    <row r="163" spans="1:17" s="98" customFormat="1">
      <c r="A163" s="735"/>
      <c r="B163" s="417"/>
      <c r="C163" s="838"/>
      <c r="D163" s="838"/>
      <c r="E163" s="838"/>
      <c r="F163" s="417"/>
      <c r="G163" s="417"/>
      <c r="H163" s="737"/>
      <c r="I163" s="737"/>
      <c r="J163" s="737"/>
      <c r="K163" s="737"/>
      <c r="L163" s="738"/>
      <c r="M163" s="738"/>
      <c r="N163" s="738"/>
      <c r="O163" s="738"/>
      <c r="P163" s="737"/>
      <c r="Q163" s="739"/>
    </row>
    <row r="164" spans="1:17" s="98" customFormat="1">
      <c r="A164" s="735"/>
      <c r="B164" s="417"/>
      <c r="C164" s="838"/>
      <c r="D164" s="838"/>
      <c r="E164" s="838"/>
      <c r="F164" s="417"/>
      <c r="G164" s="417"/>
      <c r="H164" s="737"/>
      <c r="I164" s="737"/>
      <c r="J164" s="737"/>
      <c r="K164" s="737"/>
      <c r="L164" s="738"/>
      <c r="M164" s="738"/>
      <c r="N164" s="738"/>
      <c r="O164" s="738"/>
      <c r="P164" s="737"/>
      <c r="Q164" s="739"/>
    </row>
    <row r="165" spans="1:17" s="98" customFormat="1">
      <c r="A165" s="735"/>
      <c r="B165" s="417"/>
      <c r="C165" s="838"/>
      <c r="D165" s="838"/>
      <c r="E165" s="838"/>
      <c r="F165" s="417"/>
      <c r="G165" s="417"/>
      <c r="H165" s="737"/>
      <c r="I165" s="737"/>
      <c r="J165" s="737"/>
      <c r="K165" s="737"/>
      <c r="L165" s="738"/>
      <c r="M165" s="738"/>
      <c r="N165" s="738"/>
      <c r="O165" s="738"/>
      <c r="P165" s="737"/>
      <c r="Q165" s="739"/>
    </row>
    <row r="166" spans="1:17" s="98" customFormat="1">
      <c r="A166" s="735"/>
      <c r="B166" s="417"/>
      <c r="C166" s="417"/>
      <c r="D166" s="417"/>
      <c r="E166" s="417"/>
      <c r="F166" s="417"/>
      <c r="G166" s="417"/>
      <c r="H166" s="737"/>
      <c r="I166" s="737"/>
      <c r="J166" s="737"/>
      <c r="K166" s="737"/>
      <c r="L166" s="738"/>
      <c r="M166" s="738"/>
      <c r="N166" s="738"/>
      <c r="O166" s="738"/>
      <c r="P166" s="737"/>
      <c r="Q166" s="739"/>
    </row>
    <row r="167" spans="1:17">
      <c r="A167" s="735"/>
      <c r="B167" s="417"/>
      <c r="C167" s="417"/>
      <c r="D167" s="417"/>
      <c r="E167" s="417"/>
      <c r="F167" s="417"/>
      <c r="G167" s="417"/>
      <c r="H167" s="737"/>
      <c r="I167" s="737"/>
      <c r="J167" s="737"/>
      <c r="K167" s="737"/>
      <c r="L167" s="738"/>
      <c r="M167" s="738"/>
      <c r="N167" s="738"/>
      <c r="O167" s="738"/>
      <c r="P167" s="737"/>
      <c r="Q167" s="739"/>
    </row>
    <row r="168" spans="1:17">
      <c r="A168" s="735"/>
      <c r="B168" s="417"/>
      <c r="C168" s="417"/>
      <c r="D168" s="417"/>
      <c r="E168" s="417"/>
      <c r="F168" s="417"/>
      <c r="G168" s="417"/>
      <c r="H168" s="737"/>
      <c r="I168" s="737"/>
      <c r="J168" s="737"/>
      <c r="K168" s="737"/>
      <c r="L168" s="738"/>
      <c r="M168" s="738"/>
      <c r="N168" s="738"/>
      <c r="O168" s="738"/>
      <c r="P168" s="737"/>
      <c r="Q168" s="739"/>
    </row>
    <row r="169" spans="1:17">
      <c r="A169" s="735"/>
      <c r="B169" s="737"/>
      <c r="C169" s="737"/>
      <c r="D169" s="417"/>
      <c r="E169" s="417"/>
      <c r="F169" s="417"/>
      <c r="G169" s="417"/>
      <c r="H169" s="737"/>
      <c r="I169" s="737"/>
      <c r="J169" s="737"/>
      <c r="K169" s="737"/>
      <c r="L169" s="738"/>
      <c r="M169" s="738"/>
      <c r="N169" s="738"/>
      <c r="O169" s="738"/>
      <c r="P169" s="737"/>
      <c r="Q169" s="739"/>
    </row>
    <row r="170" spans="1:17">
      <c r="A170" s="735"/>
      <c r="B170" s="737"/>
      <c r="C170" s="737"/>
      <c r="D170" s="417"/>
      <c r="E170" s="417"/>
      <c r="F170" s="417"/>
      <c r="G170" s="417"/>
      <c r="H170" s="737"/>
      <c r="I170" s="737"/>
      <c r="J170" s="737"/>
      <c r="K170" s="737"/>
      <c r="L170" s="738"/>
      <c r="M170" s="738"/>
      <c r="N170" s="738"/>
      <c r="O170" s="738"/>
      <c r="P170" s="737"/>
      <c r="Q170" s="739"/>
    </row>
    <row r="171" spans="1:17">
      <c r="A171" s="735"/>
      <c r="B171" s="737"/>
      <c r="C171" s="737"/>
      <c r="D171" s="417"/>
      <c r="E171" s="417"/>
      <c r="F171" s="417"/>
      <c r="G171" s="417"/>
      <c r="H171" s="737"/>
      <c r="I171" s="737"/>
      <c r="J171" s="737"/>
      <c r="K171" s="737"/>
      <c r="L171" s="738"/>
      <c r="M171" s="738"/>
      <c r="N171" s="738"/>
      <c r="O171" s="738"/>
      <c r="P171" s="737"/>
      <c r="Q171" s="739"/>
    </row>
    <row r="172" spans="1:17">
      <c r="A172" s="735"/>
      <c r="B172" s="737"/>
      <c r="C172" s="737"/>
      <c r="D172" s="417"/>
      <c r="E172" s="417"/>
      <c r="F172" s="417"/>
      <c r="G172" s="417"/>
      <c r="H172" s="737"/>
      <c r="I172" s="737"/>
      <c r="J172" s="737"/>
      <c r="K172" s="737"/>
      <c r="L172" s="738"/>
      <c r="M172" s="738"/>
      <c r="N172" s="738"/>
      <c r="O172" s="738"/>
      <c r="P172" s="737"/>
      <c r="Q172" s="739"/>
    </row>
    <row r="173" spans="1:17">
      <c r="A173" s="735"/>
      <c r="B173" s="737"/>
      <c r="C173" s="737"/>
      <c r="D173" s="417"/>
      <c r="E173" s="417"/>
      <c r="F173" s="417"/>
      <c r="G173" s="417"/>
      <c r="H173" s="737"/>
      <c r="I173" s="737"/>
      <c r="J173" s="737"/>
      <c r="K173" s="737"/>
      <c r="L173" s="738"/>
      <c r="M173" s="738"/>
      <c r="N173" s="738"/>
      <c r="O173" s="738"/>
      <c r="P173" s="737"/>
      <c r="Q173" s="739"/>
    </row>
    <row r="174" spans="1:17">
      <c r="A174" s="735"/>
      <c r="B174" s="737"/>
      <c r="C174" s="737"/>
      <c r="D174" s="417"/>
      <c r="E174" s="417"/>
      <c r="F174" s="417"/>
      <c r="G174" s="417"/>
      <c r="H174" s="737"/>
      <c r="I174" s="737"/>
      <c r="J174" s="737"/>
      <c r="K174" s="737"/>
      <c r="L174" s="738"/>
      <c r="M174" s="738"/>
      <c r="N174" s="738"/>
      <c r="O174" s="738"/>
      <c r="P174" s="737"/>
      <c r="Q174" s="739"/>
    </row>
    <row r="175" spans="1:17">
      <c r="A175" s="735"/>
      <c r="B175" s="737"/>
      <c r="C175" s="737"/>
      <c r="D175" s="417"/>
      <c r="E175" s="417"/>
      <c r="F175" s="417"/>
      <c r="G175" s="417"/>
      <c r="H175" s="737"/>
      <c r="I175" s="737"/>
      <c r="J175" s="737"/>
      <c r="K175" s="737"/>
      <c r="L175" s="738"/>
      <c r="M175" s="738"/>
      <c r="N175" s="738"/>
      <c r="O175" s="738"/>
      <c r="P175" s="737"/>
      <c r="Q175" s="739"/>
    </row>
    <row r="176" spans="1:17">
      <c r="A176" s="735"/>
      <c r="B176" s="737"/>
      <c r="C176" s="737"/>
      <c r="D176" s="741"/>
      <c r="E176" s="417"/>
      <c r="F176" s="417"/>
      <c r="G176" s="417"/>
      <c r="H176" s="737"/>
      <c r="I176" s="737"/>
      <c r="J176" s="737"/>
      <c r="K176" s="737"/>
      <c r="L176" s="738"/>
      <c r="M176" s="738"/>
      <c r="N176" s="738"/>
      <c r="O176" s="738"/>
      <c r="P176" s="737"/>
      <c r="Q176" s="739"/>
    </row>
    <row r="177" spans="1:17">
      <c r="A177" s="735"/>
      <c r="B177" s="737"/>
      <c r="C177" s="737"/>
      <c r="D177" s="417"/>
      <c r="E177" s="417"/>
      <c r="F177" s="417"/>
      <c r="G177" s="417"/>
      <c r="H177" s="737"/>
      <c r="I177" s="737"/>
      <c r="J177" s="737"/>
      <c r="K177" s="737"/>
      <c r="L177" s="738"/>
      <c r="M177" s="738"/>
      <c r="N177" s="738"/>
      <c r="O177" s="738"/>
      <c r="P177" s="737"/>
      <c r="Q177" s="739"/>
    </row>
    <row r="178" spans="1:17">
      <c r="A178" s="735"/>
      <c r="B178" s="417"/>
      <c r="C178" s="417"/>
      <c r="D178" s="417"/>
      <c r="E178" s="417"/>
      <c r="F178" s="417"/>
      <c r="G178" s="417"/>
      <c r="H178" s="737"/>
      <c r="I178" s="737"/>
      <c r="J178" s="737"/>
      <c r="K178" s="737"/>
      <c r="L178" s="738"/>
      <c r="M178" s="738"/>
      <c r="N178" s="738"/>
      <c r="O178" s="738"/>
      <c r="P178" s="737"/>
      <c r="Q178" s="739"/>
    </row>
    <row r="179" spans="1:17">
      <c r="A179" s="735"/>
      <c r="B179" s="417"/>
      <c r="C179" s="417"/>
      <c r="D179" s="417"/>
      <c r="E179" s="738"/>
      <c r="F179" s="738"/>
      <c r="G179" s="738"/>
      <c r="H179" s="738"/>
      <c r="I179" s="738"/>
      <c r="J179" s="737"/>
      <c r="K179" s="737"/>
      <c r="L179" s="738"/>
      <c r="M179" s="738"/>
      <c r="N179" s="738"/>
      <c r="O179" s="738"/>
      <c r="P179" s="737"/>
      <c r="Q179" s="739"/>
    </row>
    <row r="180" spans="1:17">
      <c r="A180" s="735"/>
      <c r="B180" s="417"/>
      <c r="C180" s="417"/>
      <c r="D180" s="417"/>
      <c r="E180" s="738"/>
      <c r="F180" s="738"/>
      <c r="G180" s="738"/>
      <c r="H180" s="738"/>
      <c r="I180" s="738"/>
      <c r="J180" s="737"/>
      <c r="K180" s="737"/>
      <c r="L180" s="738"/>
      <c r="M180" s="738"/>
      <c r="N180" s="738"/>
      <c r="O180" s="738"/>
      <c r="P180" s="737"/>
      <c r="Q180" s="739"/>
    </row>
    <row r="181" spans="1:17">
      <c r="A181" s="735"/>
      <c r="B181" s="417"/>
      <c r="C181" s="417"/>
      <c r="D181" s="417"/>
      <c r="E181" s="776"/>
      <c r="F181" s="776"/>
      <c r="G181" s="777" t="s">
        <v>158</v>
      </c>
      <c r="H181" s="778">
        <f>C79</f>
        <v>1185665.5872402694</v>
      </c>
      <c r="I181" s="776"/>
      <c r="J181" s="776"/>
      <c r="K181" s="737"/>
      <c r="L181" s="738"/>
      <c r="M181" s="738"/>
      <c r="N181" s="738"/>
      <c r="O181" s="738"/>
      <c r="P181" s="737"/>
      <c r="Q181" s="739"/>
    </row>
    <row r="182" spans="1:17">
      <c r="A182" s="735"/>
      <c r="B182" s="417"/>
      <c r="C182" s="417"/>
      <c r="D182" s="417"/>
      <c r="E182" s="776"/>
      <c r="F182" s="776"/>
      <c r="G182" s="776" t="s">
        <v>159</v>
      </c>
      <c r="H182" s="778">
        <f>C72</f>
        <v>961590.73846692313</v>
      </c>
      <c r="I182" s="776"/>
      <c r="J182" s="776"/>
      <c r="K182" s="737"/>
      <c r="L182" s="738"/>
      <c r="M182" s="738"/>
      <c r="N182" s="738"/>
      <c r="O182" s="738"/>
      <c r="P182" s="737"/>
      <c r="Q182" s="739"/>
    </row>
    <row r="183" spans="1:17">
      <c r="A183" s="735"/>
      <c r="B183" s="417"/>
      <c r="C183" s="417"/>
      <c r="D183" s="417"/>
      <c r="E183" s="776"/>
      <c r="F183" s="776"/>
      <c r="G183" s="776" t="s">
        <v>160</v>
      </c>
      <c r="H183" s="778">
        <f>C78</f>
        <v>224074.84877334617</v>
      </c>
      <c r="I183" s="776"/>
      <c r="J183" s="776"/>
      <c r="K183" s="737"/>
      <c r="L183" s="738"/>
      <c r="M183" s="738"/>
      <c r="N183" s="738"/>
      <c r="O183" s="738"/>
      <c r="P183" s="737"/>
      <c r="Q183" s="739"/>
    </row>
    <row r="184" spans="1:17">
      <c r="A184" s="735"/>
      <c r="B184" s="417"/>
      <c r="C184" s="417"/>
      <c r="D184" s="417"/>
      <c r="E184" s="776"/>
      <c r="F184" s="776"/>
      <c r="G184" s="777" t="s">
        <v>161</v>
      </c>
      <c r="H184" s="778">
        <f>C86</f>
        <v>814979.2</v>
      </c>
      <c r="I184" s="776"/>
      <c r="J184" s="776"/>
      <c r="K184" s="737"/>
      <c r="L184" s="738"/>
      <c r="M184" s="738"/>
      <c r="N184" s="738"/>
      <c r="O184" s="738"/>
      <c r="P184" s="737"/>
      <c r="Q184" s="739"/>
    </row>
    <row r="185" spans="1:17">
      <c r="A185" s="735"/>
      <c r="B185" s="417"/>
      <c r="C185" s="417"/>
      <c r="D185" s="417"/>
      <c r="E185" s="776"/>
      <c r="F185" s="776"/>
      <c r="G185" s="776" t="str">
        <f t="shared" ref="G185:H188" si="13">B82</f>
        <v>CACFP</v>
      </c>
      <c r="H185" s="778">
        <f t="shared" si="13"/>
        <v>71707.999999999985</v>
      </c>
      <c r="I185" s="776"/>
      <c r="J185" s="776"/>
      <c r="K185" s="737"/>
      <c r="L185" s="738"/>
      <c r="M185" s="738"/>
      <c r="N185" s="738"/>
      <c r="O185" s="738"/>
      <c r="P185" s="737"/>
      <c r="Q185" s="739"/>
    </row>
    <row r="186" spans="1:17">
      <c r="A186" s="735"/>
      <c r="B186" s="737"/>
      <c r="C186" s="737"/>
      <c r="D186" s="737"/>
      <c r="E186" s="776"/>
      <c r="F186" s="776"/>
      <c r="G186" s="776" t="str">
        <f t="shared" si="13"/>
        <v>Subsidio</v>
      </c>
      <c r="H186" s="778">
        <f t="shared" si="13"/>
        <v>290206.8</v>
      </c>
      <c r="I186" s="776"/>
      <c r="J186" s="776"/>
      <c r="K186" s="737"/>
      <c r="L186" s="738"/>
      <c r="M186" s="738"/>
      <c r="N186" s="738"/>
      <c r="O186" s="738"/>
      <c r="P186" s="737"/>
      <c r="Q186" s="739"/>
    </row>
    <row r="187" spans="1:17">
      <c r="A187" s="735"/>
      <c r="B187" s="737"/>
      <c r="C187" s="737"/>
      <c r="D187" s="737"/>
      <c r="E187" s="776"/>
      <c r="F187" s="776"/>
      <c r="G187" s="776" t="str">
        <f t="shared" si="13"/>
        <v>Matrícula</v>
      </c>
      <c r="H187" s="778">
        <f t="shared" si="13"/>
        <v>353064.39999999997</v>
      </c>
      <c r="I187" s="776"/>
      <c r="J187" s="776"/>
      <c r="K187" s="737"/>
      <c r="L187" s="738"/>
      <c r="M187" s="738"/>
      <c r="N187" s="738"/>
      <c r="O187" s="738"/>
      <c r="P187" s="737"/>
      <c r="Q187" s="739"/>
    </row>
    <row r="188" spans="1:17">
      <c r="A188" s="735"/>
      <c r="B188" s="737"/>
      <c r="C188" s="737"/>
      <c r="D188" s="737"/>
      <c r="E188" s="738"/>
      <c r="F188" s="776"/>
      <c r="G188" s="776" t="str">
        <f t="shared" si="13"/>
        <v>Otro ingresos</v>
      </c>
      <c r="H188" s="778">
        <f t="shared" si="13"/>
        <v>100000</v>
      </c>
      <c r="I188" s="738"/>
      <c r="J188" s="737"/>
      <c r="K188" s="737"/>
      <c r="L188" s="738"/>
      <c r="M188" s="738"/>
      <c r="N188" s="738"/>
      <c r="O188" s="738"/>
      <c r="P188" s="737"/>
      <c r="Q188" s="739"/>
    </row>
    <row r="189" spans="1:17">
      <c r="A189" s="735"/>
      <c r="B189" s="737"/>
      <c r="C189" s="737"/>
      <c r="D189" s="737"/>
      <c r="E189" s="738"/>
      <c r="F189" s="776"/>
      <c r="G189" s="776" t="s">
        <v>162</v>
      </c>
      <c r="H189" s="818">
        <f>C88</f>
        <v>-140478.84959999999</v>
      </c>
      <c r="I189" s="738"/>
      <c r="J189" s="737"/>
      <c r="K189" s="737"/>
      <c r="L189" s="738"/>
      <c r="M189" s="738"/>
      <c r="N189" s="738"/>
      <c r="O189" s="738"/>
      <c r="P189" s="737"/>
      <c r="Q189" s="739"/>
    </row>
    <row r="190" spans="1:17">
      <c r="A190" s="735"/>
      <c r="B190" s="737"/>
      <c r="C190" s="737"/>
      <c r="D190" s="737"/>
      <c r="E190" s="738"/>
      <c r="F190" s="776"/>
      <c r="G190" s="776"/>
      <c r="H190" s="776"/>
      <c r="I190" s="738"/>
      <c r="J190" s="737"/>
      <c r="K190" s="737"/>
      <c r="L190" s="738"/>
      <c r="M190" s="738"/>
      <c r="N190" s="738"/>
      <c r="O190" s="738"/>
      <c r="P190" s="737"/>
      <c r="Q190" s="739"/>
    </row>
    <row r="191" spans="1:17">
      <c r="A191" s="735"/>
      <c r="B191" s="737"/>
      <c r="C191" s="737"/>
      <c r="D191" s="737"/>
      <c r="E191" s="738"/>
      <c r="F191" s="776"/>
      <c r="G191" s="776"/>
      <c r="H191" s="776"/>
      <c r="I191" s="738"/>
      <c r="J191" s="737"/>
      <c r="K191" s="737"/>
      <c r="L191" s="738"/>
      <c r="M191" s="738"/>
      <c r="N191" s="738"/>
      <c r="O191" s="738"/>
      <c r="P191" s="737"/>
      <c r="Q191" s="739"/>
    </row>
    <row r="192" spans="1:17">
      <c r="A192" s="735"/>
      <c r="B192" s="737"/>
      <c r="C192" s="737"/>
      <c r="D192" s="737"/>
      <c r="E192" s="738"/>
      <c r="F192" s="776"/>
      <c r="G192" s="776" t="s">
        <v>163</v>
      </c>
      <c r="H192" s="776" t="s">
        <v>164</v>
      </c>
      <c r="I192" s="738"/>
      <c r="J192" s="737"/>
      <c r="K192" s="737"/>
      <c r="L192" s="738"/>
      <c r="M192" s="738"/>
      <c r="N192" s="738"/>
      <c r="O192" s="738"/>
      <c r="P192" s="737"/>
      <c r="Q192" s="739"/>
    </row>
    <row r="193" spans="1:17">
      <c r="A193" s="735"/>
      <c r="B193" s="737"/>
      <c r="C193" s="737"/>
      <c r="D193" s="737"/>
      <c r="E193" s="738"/>
      <c r="F193" s="776"/>
      <c r="G193" s="778">
        <f>H181</f>
        <v>1185665.5872402694</v>
      </c>
      <c r="H193" s="778">
        <f>SUM(H184,H189)</f>
        <v>674500.3504</v>
      </c>
      <c r="I193" s="738"/>
      <c r="J193" s="737"/>
      <c r="K193" s="737"/>
      <c r="L193" s="738"/>
      <c r="M193" s="738"/>
      <c r="N193" s="738"/>
      <c r="O193" s="738"/>
      <c r="P193" s="737"/>
      <c r="Q193" s="739"/>
    </row>
    <row r="194" spans="1:17">
      <c r="A194" s="735"/>
      <c r="B194" s="737"/>
      <c r="C194" s="737"/>
      <c r="D194" s="737"/>
      <c r="E194" s="738"/>
      <c r="F194" s="776"/>
      <c r="G194" s="776"/>
      <c r="H194" s="776"/>
      <c r="I194" s="738"/>
      <c r="J194" s="737"/>
      <c r="K194" s="737"/>
      <c r="L194" s="738"/>
      <c r="M194" s="738"/>
      <c r="N194" s="738"/>
      <c r="O194" s="738"/>
      <c r="P194" s="737"/>
      <c r="Q194" s="739"/>
    </row>
    <row r="195" spans="1:17">
      <c r="A195" s="735"/>
      <c r="B195" s="737"/>
      <c r="C195" s="737"/>
      <c r="D195" s="737"/>
      <c r="E195" s="737"/>
      <c r="F195" s="776"/>
      <c r="G195" s="776"/>
      <c r="H195" s="776"/>
      <c r="I195" s="737"/>
      <c r="J195" s="737"/>
      <c r="K195" s="737"/>
      <c r="L195" s="738"/>
      <c r="M195" s="738"/>
      <c r="N195" s="738"/>
      <c r="O195" s="738"/>
      <c r="P195" s="737"/>
      <c r="Q195" s="739"/>
    </row>
    <row r="196" spans="1:17">
      <c r="A196" s="735"/>
      <c r="B196" s="737"/>
      <c r="C196" s="737"/>
      <c r="D196" s="737"/>
      <c r="E196" s="737"/>
      <c r="F196" s="737"/>
      <c r="G196" s="737"/>
      <c r="H196" s="737"/>
      <c r="I196" s="737"/>
      <c r="J196" s="737"/>
      <c r="K196" s="737"/>
      <c r="L196" s="738"/>
      <c r="M196" s="738"/>
      <c r="N196" s="738"/>
      <c r="O196" s="738"/>
      <c r="P196" s="737"/>
      <c r="Q196" s="739"/>
    </row>
    <row r="197" spans="1:17">
      <c r="A197" s="735"/>
      <c r="B197" s="737"/>
      <c r="C197" s="737"/>
      <c r="D197" s="737"/>
      <c r="E197" s="737"/>
      <c r="F197" s="737"/>
      <c r="G197" s="737"/>
      <c r="H197" s="737"/>
      <c r="I197" s="737"/>
      <c r="J197" s="737"/>
      <c r="K197" s="737"/>
      <c r="L197" s="738"/>
      <c r="M197" s="738"/>
      <c r="N197" s="738"/>
      <c r="O197" s="738"/>
      <c r="P197" s="737"/>
      <c r="Q197" s="739"/>
    </row>
    <row r="198" spans="1:17">
      <c r="A198" s="735"/>
      <c r="B198" s="737"/>
      <c r="C198" s="737"/>
      <c r="D198" s="737"/>
      <c r="E198" s="737"/>
      <c r="F198" s="737"/>
      <c r="G198" s="737"/>
      <c r="H198" s="737"/>
      <c r="I198" s="737"/>
      <c r="J198" s="737"/>
      <c r="K198" s="737"/>
      <c r="L198" s="738"/>
      <c r="M198" s="738"/>
      <c r="N198" s="738"/>
      <c r="O198" s="738"/>
      <c r="P198" s="737"/>
      <c r="Q198" s="739"/>
    </row>
    <row r="199" spans="1:17">
      <c r="A199" s="735"/>
      <c r="B199" s="737"/>
      <c r="C199" s="737"/>
      <c r="D199" s="737"/>
      <c r="E199" s="737"/>
      <c r="F199" s="737"/>
      <c r="G199" s="737"/>
      <c r="H199" s="737"/>
      <c r="I199" s="737"/>
      <c r="J199" s="737"/>
      <c r="K199" s="737"/>
      <c r="L199" s="738"/>
      <c r="M199" s="738"/>
      <c r="N199" s="738"/>
      <c r="O199" s="738"/>
      <c r="P199" s="737"/>
      <c r="Q199" s="739"/>
    </row>
    <row r="200" spans="1:17">
      <c r="A200" s="735"/>
      <c r="B200" s="737"/>
      <c r="C200" s="737"/>
      <c r="D200" s="737"/>
      <c r="E200" s="737"/>
      <c r="F200" s="737"/>
      <c r="G200" s="737"/>
      <c r="H200" s="737"/>
      <c r="I200" s="737"/>
      <c r="J200" s="737"/>
      <c r="K200" s="737"/>
      <c r="L200" s="738"/>
      <c r="M200" s="738"/>
      <c r="N200" s="738"/>
      <c r="O200" s="738"/>
      <c r="P200" s="737"/>
      <c r="Q200" s="739"/>
    </row>
    <row r="201" spans="1:17">
      <c r="A201" s="735"/>
      <c r="B201" s="737"/>
      <c r="C201" s="737"/>
      <c r="D201" s="737"/>
      <c r="E201" s="737"/>
      <c r="F201" s="737"/>
      <c r="G201" s="737"/>
      <c r="H201" s="737"/>
      <c r="I201" s="737"/>
      <c r="J201" s="737"/>
      <c r="K201" s="737"/>
      <c r="L201" s="738"/>
      <c r="M201" s="738"/>
      <c r="N201" s="738"/>
      <c r="O201" s="738"/>
      <c r="P201" s="737"/>
      <c r="Q201" s="739"/>
    </row>
    <row r="202" spans="1:17">
      <c r="A202" s="735"/>
      <c r="B202" s="737"/>
      <c r="C202" s="737"/>
      <c r="D202" s="737"/>
      <c r="E202" s="737"/>
      <c r="F202" s="737"/>
      <c r="G202" s="737"/>
      <c r="H202" s="737"/>
      <c r="I202" s="737"/>
      <c r="J202" s="737"/>
      <c r="K202" s="737"/>
      <c r="L202" s="738"/>
      <c r="M202" s="738"/>
      <c r="N202" s="738"/>
      <c r="O202" s="738"/>
      <c r="P202" s="737"/>
      <c r="Q202" s="739"/>
    </row>
    <row r="203" spans="1:17">
      <c r="A203" s="735"/>
      <c r="B203" s="737"/>
      <c r="C203" s="737"/>
      <c r="D203" s="737"/>
      <c r="E203" s="737"/>
      <c r="F203" s="737"/>
      <c r="G203" s="737"/>
      <c r="H203" s="737"/>
      <c r="I203" s="737"/>
      <c r="J203" s="737"/>
      <c r="K203" s="737"/>
      <c r="L203" s="738"/>
      <c r="M203" s="738"/>
      <c r="N203" s="738"/>
      <c r="O203" s="738"/>
      <c r="P203" s="737"/>
      <c r="Q203" s="739"/>
    </row>
    <row r="204" spans="1:17">
      <c r="A204" s="735"/>
      <c r="B204" s="737"/>
      <c r="C204" s="737"/>
      <c r="D204" s="737"/>
      <c r="E204" s="737"/>
      <c r="F204" s="737"/>
      <c r="G204" s="737"/>
      <c r="H204" s="737"/>
      <c r="I204" s="737"/>
      <c r="J204" s="737"/>
      <c r="K204" s="737"/>
      <c r="L204" s="738"/>
      <c r="M204" s="738"/>
      <c r="N204" s="738"/>
      <c r="O204" s="738"/>
      <c r="P204" s="737"/>
      <c r="Q204" s="739"/>
    </row>
    <row r="205" spans="1:17">
      <c r="A205" s="735"/>
      <c r="B205" s="737"/>
      <c r="C205" s="737"/>
      <c r="D205" s="737"/>
      <c r="E205" s="737"/>
      <c r="F205" s="737"/>
      <c r="G205" s="737"/>
      <c r="H205" s="737"/>
      <c r="I205" s="737"/>
      <c r="J205" s="737"/>
      <c r="K205" s="737"/>
      <c r="L205" s="738"/>
      <c r="M205" s="738"/>
      <c r="N205" s="738"/>
      <c r="O205" s="738"/>
      <c r="P205" s="737"/>
      <c r="Q205" s="739"/>
    </row>
    <row r="206" spans="1:17" ht="65.099999999999994" customHeight="1" thickBot="1">
      <c r="A206" s="742"/>
      <c r="B206" s="743"/>
      <c r="C206" s="743"/>
      <c r="D206" s="743"/>
      <c r="E206" s="743"/>
      <c r="F206" s="743"/>
      <c r="G206" s="743"/>
      <c r="H206" s="743"/>
      <c r="I206" s="743"/>
      <c r="J206" s="743"/>
      <c r="K206" s="743"/>
      <c r="L206" s="744"/>
      <c r="M206" s="744"/>
      <c r="N206" s="744"/>
      <c r="O206" s="744"/>
      <c r="P206" s="743"/>
      <c r="Q206" s="745"/>
    </row>
    <row r="207" spans="1:17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</row>
    <row r="208" spans="1:17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</row>
    <row r="209" spans="1:11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</row>
    <row r="210" spans="1:11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</row>
    <row r="211" spans="1:11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</row>
    <row r="212" spans="1:11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</row>
    <row r="213" spans="1:11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</row>
    <row r="214" spans="1:11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</row>
    <row r="215" spans="1:11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</row>
    <row r="216" spans="1:11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</row>
    <row r="217" spans="1:11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</row>
    <row r="218" spans="1:11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</row>
    <row r="219" spans="1:11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</row>
    <row r="220" spans="1:11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</row>
    <row r="221" spans="1:11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</row>
    <row r="222" spans="1:11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</row>
    <row r="223" spans="1:11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</row>
    <row r="224" spans="1:11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</row>
    <row r="225" spans="1:11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</row>
    <row r="226" spans="1:11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</row>
    <row r="227" spans="1:11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</row>
    <row r="228" spans="1:11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</row>
    <row r="229" spans="1:11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</row>
    <row r="230" spans="1:11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</row>
    <row r="231" spans="1:11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</row>
    <row r="232" spans="1:11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</row>
    <row r="233" spans="1:11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</row>
    <row r="234" spans="1:11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</row>
    <row r="235" spans="1:11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</row>
    <row r="236" spans="1:11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</row>
    <row r="237" spans="1:11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</row>
    <row r="238" spans="1:11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</row>
    <row r="239" spans="1:11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</row>
    <row r="240" spans="1:11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</row>
    <row r="241" spans="1:1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</row>
    <row r="242" spans="1:1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</row>
    <row r="243" spans="1:1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</row>
    <row r="244" spans="1:11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</row>
    <row r="245" spans="1:11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</row>
    <row r="246" spans="1:11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</row>
    <row r="247" spans="1:11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</row>
    <row r="248" spans="1:11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</row>
    <row r="249" spans="1:11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</row>
    <row r="250" spans="1:11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</row>
    <row r="251" spans="1:11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</row>
    <row r="252" spans="1:11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</row>
    <row r="253" spans="1:11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</row>
    <row r="254" spans="1:11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</row>
    <row r="255" spans="1:11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</row>
    <row r="256" spans="1:11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</row>
    <row r="257" spans="1:11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</row>
    <row r="258" spans="1:11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</row>
    <row r="259" spans="1:11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</row>
    <row r="260" spans="1:11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</row>
    <row r="261" spans="1:11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</row>
    <row r="262" spans="1:11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</row>
    <row r="263" spans="1:11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</row>
    <row r="264" spans="1:11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</row>
    <row r="265" spans="1:11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</row>
    <row r="266" spans="1:11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</row>
    <row r="267" spans="1:11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</row>
    <row r="268" spans="1:11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</row>
    <row r="269" spans="1:11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</row>
    <row r="270" spans="1:11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</row>
    <row r="271" spans="1:11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</row>
    <row r="272" spans="1:11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</row>
    <row r="273" spans="1:11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</row>
    <row r="274" spans="1:11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</row>
    <row r="275" spans="1:11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</row>
    <row r="276" spans="1:11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</row>
    <row r="277" spans="1:11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</row>
    <row r="278" spans="1:11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</row>
    <row r="279" spans="1:11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</row>
    <row r="280" spans="1:11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</row>
    <row r="281" spans="1:11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</row>
    <row r="282" spans="1:11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</row>
    <row r="283" spans="1:11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</row>
    <row r="284" spans="1:11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</row>
    <row r="285" spans="1:11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</row>
    <row r="286" spans="1:11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</row>
    <row r="287" spans="1:11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</row>
    <row r="288" spans="1:11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</row>
    <row r="289" spans="1:11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</row>
    <row r="290" spans="1:11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</row>
    <row r="291" spans="1:11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</row>
    <row r="292" spans="1:11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</row>
    <row r="293" spans="1:11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</row>
    <row r="294" spans="1:11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</row>
    <row r="295" spans="1:11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</row>
    <row r="296" spans="1:11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</row>
    <row r="297" spans="1:11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</row>
    <row r="298" spans="1:11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</row>
    <row r="299" spans="1:11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</row>
    <row r="300" spans="1:11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</row>
    <row r="301" spans="1:11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</row>
    <row r="302" spans="1:11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</row>
    <row r="303" spans="1:11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</row>
    <row r="304" spans="1:11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</row>
    <row r="305" spans="1:11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</row>
    <row r="306" spans="1:11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</row>
    <row r="307" spans="1:11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</row>
    <row r="308" spans="1:11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</row>
    <row r="309" spans="1:11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</row>
    <row r="310" spans="1:11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</row>
    <row r="311" spans="1:11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</row>
    <row r="312" spans="1:11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</row>
    <row r="313" spans="1:11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</row>
    <row r="314" spans="1:11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</row>
    <row r="315" spans="1:11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</row>
    <row r="316" spans="1:11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</row>
    <row r="317" spans="1:11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</row>
    <row r="318" spans="1:11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</row>
    <row r="319" spans="1:11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</row>
    <row r="320" spans="1:11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</row>
    <row r="321" spans="1:11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</row>
    <row r="322" spans="1:11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</row>
    <row r="323" spans="1:11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</row>
    <row r="324" spans="1:11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</row>
    <row r="325" spans="1:11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</row>
    <row r="326" spans="1:11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</row>
    <row r="327" spans="1:11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</row>
    <row r="328" spans="1:11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</row>
    <row r="329" spans="1:11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</row>
    <row r="330" spans="1:11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</row>
    <row r="331" spans="1:11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</row>
    <row r="332" spans="1:11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</row>
    <row r="333" spans="1:11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</row>
    <row r="334" spans="1:11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</row>
    <row r="335" spans="1:11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</row>
    <row r="336" spans="1:11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</row>
    <row r="337" spans="1:11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</row>
    <row r="338" spans="1:11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</row>
    <row r="339" spans="1:11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</row>
    <row r="340" spans="1:11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</row>
    <row r="341" spans="1:11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</row>
    <row r="342" spans="1:11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</row>
    <row r="343" spans="1:11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</row>
    <row r="344" spans="1:11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</row>
    <row r="345" spans="1:11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</row>
    <row r="346" spans="1:11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</row>
    <row r="347" spans="1:11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</row>
    <row r="348" spans="1:11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</row>
    <row r="349" spans="1:11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</row>
    <row r="350" spans="1:11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</row>
    <row r="351" spans="1:11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</row>
    <row r="352" spans="1:11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</row>
    <row r="353" spans="1:11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</row>
    <row r="354" spans="1:11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</row>
    <row r="355" spans="1:11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</row>
    <row r="356" spans="1:11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</row>
    <row r="357" spans="1:11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</row>
    <row r="358" spans="1:11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</row>
    <row r="359" spans="1:11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</row>
    <row r="360" spans="1:11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</row>
    <row r="361" spans="1:11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</row>
    <row r="362" spans="1:11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</row>
    <row r="363" spans="1:11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</row>
    <row r="364" spans="1:11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</row>
    <row r="365" spans="1:11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</row>
    <row r="366" spans="1:11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</row>
    <row r="367" spans="1:11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</row>
    <row r="368" spans="1:11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</row>
  </sheetData>
  <sheetProtection algorithmName="SHA-512" hashValue="6FAyoPbLz25ToJ/kggynt2Qk5vNQxBkkIxu9MEweemVlc6xN5MAjhjZOAh5ip35wvlvLAc9SUx1bOz9Z1H9Yzg==" saltValue="qlHuDNvseToxXq/n8KuJLg==" spinCount="100000" sheet="1" objects="1" scenarios="1"/>
  <mergeCells count="41">
    <mergeCell ref="G12:G15"/>
    <mergeCell ref="G55:G59"/>
    <mergeCell ref="D32:E32"/>
    <mergeCell ref="D33:E33"/>
    <mergeCell ref="D34:E34"/>
    <mergeCell ref="D37:E37"/>
    <mergeCell ref="D39:E39"/>
    <mergeCell ref="D35:E35"/>
    <mergeCell ref="D36:E36"/>
    <mergeCell ref="D38:E38"/>
    <mergeCell ref="E21:F22"/>
    <mergeCell ref="B46:D46"/>
    <mergeCell ref="H85:I85"/>
    <mergeCell ref="B33:C33"/>
    <mergeCell ref="B32:C32"/>
    <mergeCell ref="B39:C39"/>
    <mergeCell ref="B35:C35"/>
    <mergeCell ref="B37:C37"/>
    <mergeCell ref="B36:C36"/>
    <mergeCell ref="B38:C38"/>
    <mergeCell ref="B90:B91"/>
    <mergeCell ref="C90:C91"/>
    <mergeCell ref="B87:B88"/>
    <mergeCell ref="H87:I87"/>
    <mergeCell ref="H88:I88"/>
    <mergeCell ref="D60:G60"/>
    <mergeCell ref="C160:C165"/>
    <mergeCell ref="D160:D165"/>
    <mergeCell ref="E160:E165"/>
    <mergeCell ref="H89:I89"/>
    <mergeCell ref="H90:I90"/>
    <mergeCell ref="H74:I74"/>
    <mergeCell ref="H75:I75"/>
    <mergeCell ref="H76:I76"/>
    <mergeCell ref="H77:I77"/>
    <mergeCell ref="H78:I78"/>
    <mergeCell ref="H79:I79"/>
    <mergeCell ref="H80:I80"/>
    <mergeCell ref="H86:I86"/>
    <mergeCell ref="E84:F84"/>
    <mergeCell ref="H84:I84"/>
  </mergeCells>
  <phoneticPr fontId="8" type="noConversion"/>
  <conditionalFormatting sqref="C90 C92">
    <cfRule type="cellIs" dxfId="4" priority="1" operator="lessThan">
      <formula>0</formula>
    </cfRule>
  </conditionalFormatting>
  <dataValidations count="14">
    <dataValidation type="list" allowBlank="1" showInputMessage="1" showErrorMessage="1" sqref="C6" xr:uid="{6C08A45C-5F82-8147-8724-D462BC760A78}">
      <formula1>$E$6:$G$6</formula1>
    </dataValidation>
    <dataValidation type="list" allowBlank="1" showInputMessage="1" showErrorMessage="1" sqref="D36" xr:uid="{0C9E6599-DA0C-4846-9455-64239B1AFFE5}">
      <formula1>$L$36:$O$36</formula1>
    </dataValidation>
    <dataValidation type="list" allowBlank="1" showInputMessage="1" showErrorMessage="1" sqref="C26" xr:uid="{C2CF9409-A270-DB47-8547-2D1B6985602C}">
      <formula1>$L$26:$N$26</formula1>
    </dataValidation>
    <dataValidation type="list" allowBlank="1" showInputMessage="1" showErrorMessage="1" sqref="D35:E35" xr:uid="{632953FE-90CD-D34B-8AD6-B870DC1C83F5}">
      <formula1>$L$35:$O$35</formula1>
    </dataValidation>
    <dataValidation type="list" allowBlank="1" showInputMessage="1" showErrorMessage="1" sqref="D39:E39" xr:uid="{FEA7ACFD-302E-374B-9ABF-1173F812DA2E}">
      <formula1>$L$39:$O$39</formula1>
    </dataValidation>
    <dataValidation type="list" allowBlank="1" showInputMessage="1" showErrorMessage="1" sqref="D38:E38" xr:uid="{83D20129-00F1-9040-8C55-494CD47CBC96}">
      <formula1>$L$38:$O$38</formula1>
    </dataValidation>
    <dataValidation type="list" allowBlank="1" showInputMessage="1" showErrorMessage="1" sqref="D34:E34" xr:uid="{AE6BFFF6-239A-3B49-B09C-70DF80FBCF53}">
      <formula1>$L$34:$N$34</formula1>
    </dataValidation>
    <dataValidation allowBlank="1" showInputMessage="1" showErrorMessage="1" promptTitle="Enter number of days " prompt="Enter number of days paid leave offered to staff per year (not including holidays where program is closed)" sqref="C38:C39 B35 B37 C36 C30:C34" xr:uid="{38DE5AB1-75D8-9E49-87E4-584A9244F140}"/>
    <dataValidation type="list" allowBlank="1" showInputMessage="1" showErrorMessage="1" sqref="C59" xr:uid="{E017DCFC-386A-1349-A144-9BEE254147A4}">
      <formula1>$I$48:$L$48</formula1>
    </dataValidation>
    <dataValidation type="list" allowBlank="1" showInputMessage="1" showErrorMessage="1" sqref="C21" xr:uid="{7B0980EA-FE60-944F-B9FF-460FE27F8A1E}">
      <formula1>$L$18:$L$21</formula1>
    </dataValidation>
    <dataValidation type="list" allowBlank="1" showInputMessage="1" showErrorMessage="1" sqref="C9" xr:uid="{835083DE-ABC0-0D47-B35D-B53B26BD2DFF}">
      <formula1>$H$1:$K$1</formula1>
    </dataValidation>
    <dataValidation type="list" allowBlank="1" showInputMessage="1" showErrorMessage="1" sqref="D33:E33" xr:uid="{2F17856C-5E03-1941-B286-7993220FDFCE}">
      <formula1>$L$33:$N$33</formula1>
    </dataValidation>
    <dataValidation type="list" allowBlank="1" showInputMessage="1" showErrorMessage="1" sqref="D37:E37" xr:uid="{6C3DBAC3-ABDF-B848-BEA6-1DC854306E08}">
      <formula1>$L$37:$O$37</formula1>
    </dataValidation>
    <dataValidation type="list" allowBlank="1" showInputMessage="1" showErrorMessage="1" sqref="C60" xr:uid="{4A273A6A-1F78-2947-BC72-F0EC68DD1B4B}">
      <formula1>$D$61:$G$61</formula1>
    </dataValidation>
  </dataValidations>
  <pageMargins left="0.25" right="0.25" top="0.25" bottom="0.25" header="0.05" footer="0.05"/>
  <pageSetup scale="50" fitToHeight="4" orientation="landscape" horizontalDpi="4294967293" r:id="rId1"/>
  <headerFooter alignWithMargins="0">
    <oddFooter>&amp;CDRAFT - Not for Distribution</oddFooter>
  </headerFooter>
  <rowBreaks count="2" manualBreakCount="2">
    <brk id="97" max="16" man="1"/>
    <brk id="147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 tint="-0.499984740745262"/>
  </sheetPr>
  <dimension ref="A1:Z94"/>
  <sheetViews>
    <sheetView workbookViewId="0"/>
  </sheetViews>
  <sheetFormatPr defaultColWidth="8.85546875" defaultRowHeight="12.95"/>
  <cols>
    <col min="1" max="1" width="7.28515625" style="19" customWidth="1"/>
    <col min="2" max="2" width="44" style="19" customWidth="1"/>
    <col min="3" max="3" width="12.28515625" style="19" customWidth="1"/>
    <col min="4" max="4" width="12.140625" style="19" customWidth="1"/>
    <col min="5" max="5" width="21.140625" style="19" customWidth="1"/>
    <col min="6" max="6" width="12" style="19" customWidth="1"/>
    <col min="7" max="7" width="11.85546875" style="19" customWidth="1"/>
    <col min="8" max="8" width="13.140625" style="19" customWidth="1"/>
    <col min="9" max="9" width="14.85546875" style="19" customWidth="1"/>
    <col min="10" max="10" width="11.7109375" style="19" customWidth="1"/>
    <col min="11" max="11" width="13.85546875" style="19" customWidth="1"/>
    <col min="12" max="14" width="10.42578125" style="19" customWidth="1"/>
    <col min="15" max="15" width="10" style="19" customWidth="1"/>
    <col min="16" max="16" width="9.42578125" style="19" customWidth="1"/>
    <col min="17" max="17" width="12.28515625" style="19" customWidth="1"/>
    <col min="18" max="18" width="13.7109375" style="19" customWidth="1"/>
    <col min="19" max="19" width="12.28515625" style="19" customWidth="1"/>
    <col min="20" max="20" width="11.42578125" style="19" customWidth="1"/>
    <col min="21" max="21" width="11.7109375" style="19" bestFit="1" customWidth="1"/>
    <col min="22" max="22" width="11.140625" style="19" bestFit="1" customWidth="1"/>
    <col min="23" max="23" width="8.85546875" style="19"/>
    <col min="24" max="26" width="0" style="19" hidden="1" customWidth="1"/>
    <col min="27" max="16384" width="8.85546875" style="19"/>
  </cols>
  <sheetData>
    <row r="1" spans="1:26" ht="16.5" customHeight="1">
      <c r="A1" s="1" t="s">
        <v>165</v>
      </c>
      <c r="B1" s="162"/>
      <c r="C1" s="1"/>
      <c r="D1" s="1"/>
      <c r="E1" s="1"/>
      <c r="F1" s="1"/>
      <c r="G1" s="1"/>
    </row>
    <row r="2" spans="1:26">
      <c r="A2" s="2"/>
      <c r="B2" s="2" t="s">
        <v>166</v>
      </c>
      <c r="E2" s="163"/>
      <c r="F2" s="19" t="s">
        <v>167</v>
      </c>
    </row>
    <row r="3" spans="1:26">
      <c r="A3" s="2"/>
      <c r="B3" s="2" t="s">
        <v>168</v>
      </c>
      <c r="E3" s="164"/>
      <c r="F3" s="19" t="s">
        <v>169</v>
      </c>
    </row>
    <row r="4" spans="1:26">
      <c r="A4" s="15" t="s">
        <v>170</v>
      </c>
      <c r="B4" s="165"/>
      <c r="C4" s="165"/>
      <c r="D4" s="165"/>
      <c r="E4" s="165"/>
      <c r="F4" s="165"/>
      <c r="G4" s="165"/>
      <c r="H4" s="166"/>
      <c r="I4" s="166"/>
    </row>
    <row r="5" spans="1:26">
      <c r="L5" s="95"/>
      <c r="M5" s="95"/>
      <c r="N5" s="95"/>
      <c r="O5" s="95"/>
      <c r="P5" s="95"/>
      <c r="Q5" s="2"/>
    </row>
    <row r="6" spans="1:26" ht="25.5" customHeight="1">
      <c r="B6" s="1" t="s">
        <v>171</v>
      </c>
      <c r="C6" s="19" t="s">
        <v>172</v>
      </c>
      <c r="D6" s="22" t="s">
        <v>173</v>
      </c>
      <c r="E6" s="19" t="s">
        <v>174</v>
      </c>
      <c r="F6" s="19" t="s">
        <v>175</v>
      </c>
      <c r="H6" s="73" t="s">
        <v>176</v>
      </c>
      <c r="I6" s="1" t="s">
        <v>177</v>
      </c>
      <c r="J6" s="23"/>
      <c r="K6" s="23" t="s">
        <v>178</v>
      </c>
      <c r="L6" s="149" t="s">
        <v>179</v>
      </c>
      <c r="M6" s="149" t="s">
        <v>180</v>
      </c>
      <c r="N6" s="149" t="s">
        <v>181</v>
      </c>
      <c r="O6" s="149" t="s">
        <v>182</v>
      </c>
      <c r="P6" s="149" t="s">
        <v>183</v>
      </c>
      <c r="Q6" s="149" t="s">
        <v>184</v>
      </c>
      <c r="R6" s="149" t="s">
        <v>185</v>
      </c>
      <c r="S6" s="149" t="s">
        <v>186</v>
      </c>
      <c r="T6" s="149" t="s">
        <v>187</v>
      </c>
      <c r="U6" s="149" t="s">
        <v>188</v>
      </c>
      <c r="V6" s="149" t="s">
        <v>189</v>
      </c>
    </row>
    <row r="7" spans="1:26" ht="14.1" customHeight="1">
      <c r="A7" s="19">
        <f>C7*F7</f>
        <v>12</v>
      </c>
      <c r="B7" s="19" t="str">
        <f>'Cuidado infantil en centros'!B12</f>
        <v>Infantes</v>
      </c>
      <c r="C7" s="167">
        <f>'Cuidado infantil en centros'!E12</f>
        <v>12</v>
      </c>
      <c r="D7" s="60">
        <f>'Cuidado infantil en centros'!D12</f>
        <v>4</v>
      </c>
      <c r="E7" s="168">
        <f>SUM(A7/D7)</f>
        <v>3</v>
      </c>
      <c r="F7" s="169">
        <f>'Cuidado infantil en centros'!C12</f>
        <v>1</v>
      </c>
      <c r="G7" s="19" t="str">
        <f>B7</f>
        <v>Infantes</v>
      </c>
      <c r="H7" s="170">
        <f>IF(F7&gt;0,V7,0)</f>
        <v>27217.038119064633</v>
      </c>
      <c r="I7" s="170">
        <f>H7/12</f>
        <v>2268.0865099220528</v>
      </c>
      <c r="J7" s="146"/>
      <c r="K7" s="146">
        <f t="shared" ref="K7:K11" si="0">Admin_Staff/TotalChildren*A7</f>
        <v>33724.607142857145</v>
      </c>
      <c r="L7" s="147">
        <f>SUM(D$24:D$25)/SUM(E$7:E$11)*E7</f>
        <v>171370.33333333334</v>
      </c>
      <c r="M7" s="147">
        <f>SUM((Subs+D29)/(TotalClassrooms)*F7)+SUM(D28/(F13-F12))*F7</f>
        <v>34080.18230769231</v>
      </c>
      <c r="N7" s="147">
        <f t="shared" ref="N7:N12" si="1">SUM(D$44:D$47)/A$13*A7</f>
        <v>37852.295622032972</v>
      </c>
      <c r="O7" s="148">
        <f>SUM(NP_Occupancy/TotalClassrooms)*F7</f>
        <v>10927</v>
      </c>
      <c r="P7" s="148">
        <f t="shared" ref="P7:P12" si="2">SUM(NP_EdProgram+NP_MgtAdmin+Reserve_Fund+D$57)/TotalChildren*A7</f>
        <v>38650.039022859892</v>
      </c>
      <c r="R7" s="23">
        <f>SUM(K7:Q7)</f>
        <v>326604.45742877561</v>
      </c>
      <c r="S7" s="23">
        <f>R7/A7</f>
        <v>27217.038119064633</v>
      </c>
      <c r="T7" s="138">
        <f>SUM(R$12-U$12)/SUM(A$7:A$11)*A7</f>
        <v>0</v>
      </c>
      <c r="U7" s="23">
        <f>SUM(R7,T7)</f>
        <v>326604.45742877561</v>
      </c>
      <c r="V7" s="223">
        <f>U7/A7</f>
        <v>27217.038119064633</v>
      </c>
      <c r="X7" s="19">
        <v>3723.7747116622322</v>
      </c>
      <c r="Y7" s="19">
        <v>131672.44150719413</v>
      </c>
      <c r="Z7" s="19">
        <v>16459.055188399267</v>
      </c>
    </row>
    <row r="8" spans="1:26" ht="14.1" customHeight="1">
      <c r="A8" s="19">
        <f t="shared" ref="A8:A12" si="3">C8*F8</f>
        <v>12</v>
      </c>
      <c r="B8" s="19" t="str">
        <f>'Cuidado infantil en centros'!B13</f>
        <v>Niños pequeños</v>
      </c>
      <c r="C8" s="167">
        <f>'Cuidado infantil en centros'!E13</f>
        <v>12</v>
      </c>
      <c r="D8" s="60">
        <f>'Cuidado infantil en centros'!D13</f>
        <v>6</v>
      </c>
      <c r="E8" s="168">
        <f t="shared" ref="E8:E12" si="4">SUM(A8/D8)</f>
        <v>2</v>
      </c>
      <c r="F8" s="169">
        <f>'Cuidado infantil en centros'!C13</f>
        <v>1</v>
      </c>
      <c r="G8" s="19" t="str">
        <f t="shared" ref="G8:G12" si="5">B8</f>
        <v>Niños pequeños</v>
      </c>
      <c r="H8" s="170">
        <f t="shared" ref="H8:H12" si="6">IF(F8&gt;0,V8,0)</f>
        <v>22456.751082027604</v>
      </c>
      <c r="I8" s="170">
        <f t="shared" ref="I8:I12" si="7">H8/12</f>
        <v>1871.3959235023003</v>
      </c>
      <c r="J8" s="146"/>
      <c r="K8" s="146">
        <f t="shared" si="0"/>
        <v>33724.607142857145</v>
      </c>
      <c r="L8" s="147">
        <f>SUM(D$24:D$25)/SUM(E$7:E$11)*E8</f>
        <v>114246.88888888889</v>
      </c>
      <c r="M8" s="147">
        <f>SUM((Subs+D29)/(TotalClassrooms)*F8)+SUM(D28/(F13-F12))*F8</f>
        <v>34080.18230769231</v>
      </c>
      <c r="N8" s="147">
        <f t="shared" si="1"/>
        <v>37852.295622032972</v>
      </c>
      <c r="O8" s="148">
        <f t="shared" ref="O8:O12" si="8">SUM(NP_Occupancy/TotalClassrooms)*F8</f>
        <v>10927</v>
      </c>
      <c r="P8" s="148">
        <f t="shared" si="2"/>
        <v>38650.039022859892</v>
      </c>
      <c r="R8" s="23">
        <f t="shared" ref="R8:R13" si="9">SUM(K8:Q8)</f>
        <v>269481.01298433123</v>
      </c>
      <c r="S8" s="23">
        <f t="shared" ref="S8:S11" si="10">R8/A8</f>
        <v>22456.751082027604</v>
      </c>
      <c r="T8" s="138">
        <f>SUM(R$12-U$12)/SUM(A$7:A$11)*A8</f>
        <v>0</v>
      </c>
      <c r="U8" s="23">
        <f t="shared" ref="U8" si="11">SUM(R8,T8)</f>
        <v>269481.01298433123</v>
      </c>
      <c r="V8" s="223">
        <f t="shared" ref="V8" si="12">U8/A8</f>
        <v>22456.751082027604</v>
      </c>
      <c r="X8" s="19">
        <v>5585.6620674933483</v>
      </c>
      <c r="Y8" s="19">
        <v>143464.39476079121</v>
      </c>
      <c r="Z8" s="19">
        <v>11955.366230065934</v>
      </c>
    </row>
    <row r="9" spans="1:26" ht="14.1" customHeight="1">
      <c r="A9" s="19">
        <f t="shared" si="3"/>
        <v>12</v>
      </c>
      <c r="B9" s="19" t="str">
        <f>'Cuidado infantil en centros'!B14</f>
        <v>2 años de edad</v>
      </c>
      <c r="C9" s="167">
        <f>'Cuidado infantil en centros'!E14</f>
        <v>12</v>
      </c>
      <c r="D9" s="60">
        <f>'Cuidado infantil en centros'!D14</f>
        <v>6</v>
      </c>
      <c r="E9" s="168">
        <f t="shared" si="4"/>
        <v>2</v>
      </c>
      <c r="F9" s="169">
        <f>'Cuidado infantil en centros'!C14</f>
        <v>1</v>
      </c>
      <c r="G9" s="19" t="str">
        <f t="shared" si="5"/>
        <v>2 años de edad</v>
      </c>
      <c r="H9" s="170">
        <f t="shared" si="6"/>
        <v>22456.751082027604</v>
      </c>
      <c r="I9" s="170">
        <f t="shared" si="7"/>
        <v>1871.3959235023003</v>
      </c>
      <c r="J9" s="146"/>
      <c r="K9" s="146">
        <f t="shared" ref="K9:K10" si="13">Admin_Staff/TotalChildren*A9</f>
        <v>33724.607142857145</v>
      </c>
      <c r="L9" s="147">
        <f>SUM(D$24:D$25)/SUM(E$7:E$11)*E9</f>
        <v>114246.88888888889</v>
      </c>
      <c r="M9" s="300">
        <f>SUM((Subs+D29)/(TotalClassrooms)*F9)+SUM(D28/(F13-F12))*F9</f>
        <v>34080.18230769231</v>
      </c>
      <c r="N9" s="147">
        <f t="shared" si="1"/>
        <v>37852.295622032972</v>
      </c>
      <c r="O9" s="148">
        <f t="shared" ref="O9:O10" si="14">SUM(NP_Occupancy/TotalClassrooms)*F9</f>
        <v>10927</v>
      </c>
      <c r="P9" s="148">
        <f t="shared" si="2"/>
        <v>38650.039022859892</v>
      </c>
      <c r="R9" s="23">
        <f t="shared" ref="R9:R10" si="15">SUM(K9:Q9)</f>
        <v>269481.01298433123</v>
      </c>
      <c r="S9" s="23">
        <f t="shared" ref="S9:S10" si="16">R9/A9</f>
        <v>22456.751082027604</v>
      </c>
      <c r="T9" s="138">
        <f t="shared" ref="T9:T10" si="17">SUM(R$12-U$12)/SUM(A$7:A$11)*A9</f>
        <v>0</v>
      </c>
      <c r="U9" s="23">
        <f t="shared" ref="U9:U10" si="18">SUM(R9,T9)</f>
        <v>269481.01298433123</v>
      </c>
      <c r="V9" s="223">
        <f t="shared" ref="V9:V10" si="19">U9/A9</f>
        <v>22456.751082027604</v>
      </c>
    </row>
    <row r="10" spans="1:26" ht="14.1" customHeight="1">
      <c r="A10" s="19">
        <f t="shared" si="3"/>
        <v>20</v>
      </c>
      <c r="B10" s="19" t="str">
        <f>'Cuidado infantil en centros'!B15</f>
        <v>3 años de edad</v>
      </c>
      <c r="C10" s="167">
        <f>'Cuidado infantil en centros'!E15</f>
        <v>20</v>
      </c>
      <c r="D10" s="60">
        <f>'Cuidado infantil en centros'!D15</f>
        <v>10</v>
      </c>
      <c r="E10" s="168">
        <f t="shared" si="4"/>
        <v>2</v>
      </c>
      <c r="F10" s="169">
        <f>'Cuidado infantil en centros'!C15</f>
        <v>1</v>
      </c>
      <c r="G10" s="19" t="str">
        <f t="shared" si="5"/>
        <v>3 años de edad</v>
      </c>
      <c r="H10" s="170">
        <f t="shared" si="6"/>
        <v>17148.28204214156</v>
      </c>
      <c r="I10" s="170">
        <f t="shared" si="7"/>
        <v>1429.0235035117967</v>
      </c>
      <c r="J10" s="146"/>
      <c r="K10" s="146">
        <f t="shared" si="13"/>
        <v>56207.678571428565</v>
      </c>
      <c r="L10" s="147">
        <f>SUM(D$24:D$25)/SUM(E$7:E$11)*E10</f>
        <v>114246.88888888889</v>
      </c>
      <c r="M10" s="300">
        <f>SUM((Subs+D29)/(TotalClassrooms)*F10)+SUM(D28/(F13-F12))*F10</f>
        <v>34080.18230769231</v>
      </c>
      <c r="N10" s="147">
        <f t="shared" si="1"/>
        <v>63087.159370054949</v>
      </c>
      <c r="O10" s="148">
        <f t="shared" si="14"/>
        <v>10927</v>
      </c>
      <c r="P10" s="148">
        <f t="shared" si="2"/>
        <v>64416.731704766491</v>
      </c>
      <c r="R10" s="23">
        <f t="shared" si="15"/>
        <v>342965.64084283123</v>
      </c>
      <c r="S10" s="23">
        <f t="shared" si="16"/>
        <v>17148.28204214156</v>
      </c>
      <c r="T10" s="138">
        <f t="shared" si="17"/>
        <v>0</v>
      </c>
      <c r="U10" s="23">
        <f t="shared" si="18"/>
        <v>342965.64084283123</v>
      </c>
      <c r="V10" s="223">
        <f t="shared" si="19"/>
        <v>17148.28204214156</v>
      </c>
    </row>
    <row r="11" spans="1:26" ht="14.1" customHeight="1">
      <c r="A11" s="19">
        <f t="shared" si="3"/>
        <v>0</v>
      </c>
      <c r="B11" s="19" t="str">
        <f>'Cuidado infantil en centros'!B16</f>
        <v>4-5 años de edad</v>
      </c>
      <c r="C11" s="167">
        <f>'Cuidado infantil en centros'!E16</f>
        <v>24</v>
      </c>
      <c r="D11" s="60">
        <f>'Cuidado infantil en centros'!D16</f>
        <v>12</v>
      </c>
      <c r="E11" s="168">
        <f t="shared" si="4"/>
        <v>0</v>
      </c>
      <c r="F11" s="169">
        <f>'Cuidado infantil en centros'!C16</f>
        <v>0</v>
      </c>
      <c r="G11" s="19" t="str">
        <f t="shared" si="5"/>
        <v>4-5 años de edad</v>
      </c>
      <c r="H11" s="170">
        <f t="shared" si="6"/>
        <v>0</v>
      </c>
      <c r="I11" s="170">
        <f t="shared" si="7"/>
        <v>0</v>
      </c>
      <c r="J11" s="146"/>
      <c r="K11" s="146">
        <f t="shared" si="0"/>
        <v>0</v>
      </c>
      <c r="L11" s="147">
        <f>SUM(D$24:D$25)/SUM(E$7:E$11)*E11</f>
        <v>0</v>
      </c>
      <c r="M11" s="147">
        <f>SUM((Subs+D29)/(TotalClassrooms)*F11)+SUM(D28/(F13-F12))*F11</f>
        <v>0</v>
      </c>
      <c r="N11" s="147">
        <f t="shared" si="1"/>
        <v>0</v>
      </c>
      <c r="O11" s="148">
        <f t="shared" si="8"/>
        <v>0</v>
      </c>
      <c r="P11" s="148">
        <f t="shared" si="2"/>
        <v>0</v>
      </c>
      <c r="R11" s="23">
        <f t="shared" si="9"/>
        <v>0</v>
      </c>
      <c r="S11" s="23" t="e">
        <f t="shared" si="10"/>
        <v>#DIV/0!</v>
      </c>
      <c r="T11" s="138">
        <f>SUM(R$12-U$12)/SUM(A$7:A$11)*A11</f>
        <v>0</v>
      </c>
      <c r="U11" s="23">
        <f>SUM(R11,T11)</f>
        <v>0</v>
      </c>
      <c r="V11" s="223" t="e">
        <f>U11/A11</f>
        <v>#DIV/0!</v>
      </c>
      <c r="X11" s="19">
        <v>9309.4367791555815</v>
      </c>
      <c r="Y11" s="19">
        <v>167048.30126798537</v>
      </c>
      <c r="Z11" s="19">
        <v>8352.4150633992685</v>
      </c>
    </row>
    <row r="12" spans="1:26" ht="14.1" customHeight="1">
      <c r="A12" s="19">
        <f t="shared" si="3"/>
        <v>0</v>
      </c>
      <c r="B12" s="19" t="str">
        <f>'Cuidado infantil en centros'!B17</f>
        <v>Edad escolar</v>
      </c>
      <c r="C12" s="167">
        <f>'Cuidado infantil en centros'!E17</f>
        <v>30</v>
      </c>
      <c r="D12" s="60">
        <f>'Cuidado infantil en centros'!D17</f>
        <v>15</v>
      </c>
      <c r="E12" s="168">
        <f t="shared" si="4"/>
        <v>0</v>
      </c>
      <c r="F12" s="169">
        <f>'Cuidado infantil en centros'!C17</f>
        <v>0</v>
      </c>
      <c r="G12" s="19" t="str">
        <f t="shared" si="5"/>
        <v>Edad escolar</v>
      </c>
      <c r="H12" s="170">
        <f t="shared" si="6"/>
        <v>0</v>
      </c>
      <c r="I12" s="170">
        <f t="shared" si="7"/>
        <v>0</v>
      </c>
      <c r="J12" s="171"/>
      <c r="K12" s="146">
        <f>Admin_Staff/TotalChildren*A12</f>
        <v>0</v>
      </c>
      <c r="L12" s="147">
        <f>IF(E12&gt;0,((D26+D27)/E12),0)*E12</f>
        <v>0</v>
      </c>
      <c r="M12" s="147">
        <f>SUM((Subs+D29)/(TotalClassrooms)*F12)</f>
        <v>0</v>
      </c>
      <c r="N12" s="147">
        <f t="shared" si="1"/>
        <v>0</v>
      </c>
      <c r="O12" s="148">
        <f t="shared" si="8"/>
        <v>0</v>
      </c>
      <c r="P12" s="148">
        <f t="shared" si="2"/>
        <v>0</v>
      </c>
      <c r="Q12" s="21">
        <f>D62</f>
        <v>0</v>
      </c>
      <c r="R12" s="23">
        <f t="shared" si="9"/>
        <v>0</v>
      </c>
      <c r="S12" s="23">
        <f>IF(F12&gt;0,(R12/A12),0)</f>
        <v>0</v>
      </c>
      <c r="T12" s="138">
        <f>SUM(K12,N12,P12)*T15</f>
        <v>0</v>
      </c>
      <c r="U12" s="193">
        <f>SUM(L12,O12,Q12,T12)</f>
        <v>0</v>
      </c>
      <c r="V12" s="223" t="e">
        <f>U12/A12</f>
        <v>#DIV/0!</v>
      </c>
      <c r="X12" s="19">
        <v>44685.296539946808</v>
      </c>
      <c r="Y12" s="19">
        <v>129439.75653994681</v>
      </c>
      <c r="Z12" s="19">
        <v>4314.6585513315604</v>
      </c>
    </row>
    <row r="13" spans="1:26" ht="14.1" customHeight="1">
      <c r="A13" s="40">
        <f>SUM(A7:A12)</f>
        <v>56</v>
      </c>
      <c r="B13" s="66"/>
      <c r="C13" s="172"/>
      <c r="D13" s="67"/>
      <c r="E13" s="40">
        <f>SUM(E7:E12)</f>
        <v>9</v>
      </c>
      <c r="F13" s="40">
        <f>SUM(F7:F12)</f>
        <v>4</v>
      </c>
      <c r="H13" s="8"/>
      <c r="J13" s="146"/>
      <c r="K13" s="150">
        <f>SUM(K7:K12)</f>
        <v>157381.5</v>
      </c>
      <c r="L13" s="150">
        <f>SUM(L7:L12)</f>
        <v>514111</v>
      </c>
      <c r="M13" s="150">
        <f t="shared" ref="M13:Q13" si="20">SUM(M7:M12)</f>
        <v>136320.72923076924</v>
      </c>
      <c r="N13" s="150">
        <f t="shared" si="20"/>
        <v>176644.04623615387</v>
      </c>
      <c r="O13" s="150">
        <f t="shared" si="20"/>
        <v>43708</v>
      </c>
      <c r="P13" s="150">
        <f>SUM(P7:P12)</f>
        <v>180366.84877334617</v>
      </c>
      <c r="Q13" s="150">
        <f t="shared" si="20"/>
        <v>0</v>
      </c>
      <c r="R13" s="23">
        <f t="shared" si="9"/>
        <v>1208532.1242402694</v>
      </c>
      <c r="T13" s="65"/>
    </row>
    <row r="14" spans="1:26" ht="26.1" customHeight="1">
      <c r="F14" s="173">
        <v>0.2</v>
      </c>
      <c r="G14" s="879" t="s">
        <v>190</v>
      </c>
      <c r="H14" s="879"/>
      <c r="I14" s="879"/>
      <c r="J14" s="65"/>
      <c r="K14" s="65"/>
      <c r="L14" s="180"/>
      <c r="M14" s="180"/>
      <c r="N14" s="180"/>
      <c r="O14" s="181"/>
      <c r="P14" s="181"/>
      <c r="Q14" s="138"/>
      <c r="R14" s="65"/>
    </row>
    <row r="15" spans="1:26" ht="14.1" thickBot="1">
      <c r="F15" s="61"/>
      <c r="G15" s="880"/>
      <c r="H15" s="880"/>
      <c r="I15" s="880"/>
      <c r="L15" s="182"/>
      <c r="M15" s="182"/>
      <c r="N15" s="182"/>
      <c r="Q15" s="8"/>
      <c r="S15" s="54" t="s">
        <v>191</v>
      </c>
      <c r="T15" s="61">
        <v>0.6</v>
      </c>
    </row>
    <row r="16" spans="1:26">
      <c r="E16" s="275" t="str">
        <f>'Cuidado infantil en centros'!C21</f>
        <v>Salario digno</v>
      </c>
      <c r="F16" s="275" t="str">
        <f>'Cuidado infantil en centros'!C6</f>
        <v>En todo el estado</v>
      </c>
      <c r="G16" s="880"/>
      <c r="H16" s="880"/>
      <c r="I16" s="880"/>
      <c r="J16" s="76" t="s">
        <v>192</v>
      </c>
      <c r="K16" s="177"/>
      <c r="L16" s="52"/>
      <c r="M16" s="52"/>
      <c r="N16" s="52"/>
      <c r="Q16" s="8"/>
    </row>
    <row r="17" spans="1:18">
      <c r="B17" s="1" t="s">
        <v>193</v>
      </c>
      <c r="D17" s="11" t="s">
        <v>194</v>
      </c>
      <c r="E17" s="11" t="s">
        <v>195</v>
      </c>
      <c r="J17" s="77" t="str">
        <f>B7</f>
        <v>Infantes</v>
      </c>
      <c r="K17" s="178">
        <f>H7*A7</f>
        <v>326604.45742877561</v>
      </c>
      <c r="L17" s="52"/>
      <c r="M17" s="52"/>
      <c r="N17" s="52"/>
      <c r="Q17" s="8"/>
    </row>
    <row r="18" spans="1:18">
      <c r="A18" s="26">
        <f>SUM(A19:A28)</f>
        <v>12.8</v>
      </c>
      <c r="B18" s="1" t="s">
        <v>196</v>
      </c>
      <c r="C18" s="174"/>
      <c r="E18" s="22" t="s">
        <v>197</v>
      </c>
      <c r="J18" s="77" t="str">
        <f>B8</f>
        <v>Niños pequeños</v>
      </c>
      <c r="K18" s="178">
        <f t="shared" ref="K18:K22" si="21">H8*A8</f>
        <v>269481.01298433123</v>
      </c>
      <c r="L18" s="52"/>
      <c r="M18" s="52"/>
      <c r="N18" s="52"/>
      <c r="Q18" s="8"/>
    </row>
    <row r="19" spans="1:18">
      <c r="A19" s="50">
        <f>IF(A13&gt;0,1)</f>
        <v>1</v>
      </c>
      <c r="B19" s="19" t="s">
        <v>198</v>
      </c>
      <c r="C19" s="61"/>
      <c r="D19" s="8">
        <f>A19*E19</f>
        <v>96727</v>
      </c>
      <c r="E19" s="190">
        <f>IF('Cuidado infantil en centros'!C$21="BLS ($15 MW adj)",Wages!B$4,
IF('Cuidado infantil en centros'!C$21='Cuidado infantil en centros'!L19,Wages!B$5,
IF('Cuidado infantil en centros'!C$21='Cuidado infantil en centros'!L20,Wages!B$6,
IF('Cuidado infantil en centros'!C$21="Usuario ingresado",Wages!B$7,))))</f>
        <v>96727</v>
      </c>
      <c r="F19" s="8"/>
      <c r="J19" s="77" t="str">
        <f t="shared" ref="J19:J21" si="22">B9</f>
        <v>2 años de edad</v>
      </c>
      <c r="K19" s="178">
        <f t="shared" si="21"/>
        <v>269481.01298433123</v>
      </c>
    </row>
    <row r="20" spans="1:18">
      <c r="A20" s="50">
        <f>IF(TotalChildren&lt;78,0.5,IF(TotalChildren&lt;150,1,IF(TotalChildren&lt;250,1.5,2)))</f>
        <v>0.5</v>
      </c>
      <c r="B20" s="19" t="s">
        <v>199</v>
      </c>
      <c r="C20" s="61"/>
      <c r="D20" s="8">
        <f t="shared" ref="D20" si="23">A20*E20</f>
        <v>39969.5</v>
      </c>
      <c r="E20" s="190">
        <f>IF('Cuidado infantil en centros'!C$21="BLS ($15 MW adj)",Wages!C$4,
IF('Cuidado infantil en centros'!C$21='Cuidado infantil en centros'!L19,Wages!C$5,
IF('Cuidado infantil en centros'!C$21='Cuidado infantil en centros'!L20,Wages!C$6,
IF('Cuidado infantil en centros'!C$21="Usuario ingresado",Wages!C$7,))))</f>
        <v>79939</v>
      </c>
      <c r="F20" s="91"/>
      <c r="G20" s="18"/>
      <c r="J20" s="77" t="str">
        <f t="shared" si="22"/>
        <v>3 años de edad</v>
      </c>
      <c r="K20" s="178">
        <f t="shared" si="21"/>
        <v>342965.64084283123</v>
      </c>
    </row>
    <row r="21" spans="1:18" ht="15">
      <c r="A21" s="50">
        <f>IF(TotalChildren&lt;78,0.5,IF(TotalChildren&lt;150,1,IF(TotalChildren&lt;250,1.5,2)))</f>
        <v>0.5</v>
      </c>
      <c r="B21" s="19" t="s">
        <v>200</v>
      </c>
      <c r="C21" s="61" t="s">
        <v>201</v>
      </c>
      <c r="D21" s="8">
        <f>A21*E21</f>
        <v>20685</v>
      </c>
      <c r="E21" s="190">
        <f>IF('Cuidado infantil en centros'!C$21="BLS ($15 MW adj)",Wages!D$4,
IF('Cuidado infantil en centros'!C$21='Cuidado infantil en centros'!L19,Wages!D$5,
IF('Cuidado infantil en centros'!C$21='Cuidado infantil en centros'!L20,Wages!D$6,
IF('Cuidado infantil en centros'!C$21="Usuario ingresado",Wages!D$7,))))</f>
        <v>41370</v>
      </c>
      <c r="F21" s="91"/>
      <c r="G21" s="18"/>
      <c r="J21" s="77" t="str">
        <f t="shared" si="22"/>
        <v>4-5 años de edad</v>
      </c>
      <c r="K21" s="178">
        <f t="shared" si="21"/>
        <v>0</v>
      </c>
      <c r="R21" s="299"/>
    </row>
    <row r="22" spans="1:18" ht="14.1" thickBot="1">
      <c r="A22" s="50"/>
      <c r="B22" s="22" t="s">
        <v>202</v>
      </c>
      <c r="C22" s="61"/>
      <c r="D22" s="57">
        <f>SUM(D19:D21)</f>
        <v>157381.5</v>
      </c>
      <c r="E22" s="193"/>
      <c r="F22" s="57"/>
      <c r="J22" s="77" t="str">
        <f>B12</f>
        <v>Edad escolar</v>
      </c>
      <c r="K22" s="178">
        <f t="shared" si="21"/>
        <v>0</v>
      </c>
    </row>
    <row r="23" spans="1:18" ht="21.95" customHeight="1" thickBot="1">
      <c r="A23" s="50"/>
      <c r="B23" s="22"/>
      <c r="C23" s="61"/>
      <c r="D23" s="8"/>
      <c r="E23" s="193"/>
      <c r="F23" s="91"/>
      <c r="J23" s="707" t="s">
        <v>203</v>
      </c>
      <c r="K23" s="708">
        <f>SUM(K17:K22)</f>
        <v>1208532.1242402694</v>
      </c>
    </row>
    <row r="24" spans="1:18" ht="14.1" thickBot="1">
      <c r="A24" s="50">
        <f>SUM(F7:F11)</f>
        <v>4</v>
      </c>
      <c r="B24" s="19" t="s">
        <v>204</v>
      </c>
      <c r="C24" s="61"/>
      <c r="D24" s="193">
        <f>A24*E24</f>
        <v>262096</v>
      </c>
      <c r="E24" s="193">
        <f>IF('Cuidado infantil en centros'!C$21="BLS ($15 MW adj)",Wages!E$4,
IF('Cuidado infantil en centros'!C$21='Cuidado infantil en centros'!L19,Wages!E$5,
IF('Cuidado infantil en centros'!C$21='Cuidado infantil en centros'!L20,Wages!E$6,
IF('Cuidado infantil en centros'!C$21="""Usuarioingresado",Wages!E$7,))))</f>
        <v>65524</v>
      </c>
      <c r="F24" s="91"/>
      <c r="G24" s="64"/>
      <c r="H24" s="2"/>
      <c r="I24" s="2"/>
      <c r="J24" s="709"/>
      <c r="K24" s="710">
        <f>K23-D67</f>
        <v>0</v>
      </c>
    </row>
    <row r="25" spans="1:18">
      <c r="A25" s="50">
        <f>SUM(E7:E11)-A24</f>
        <v>5</v>
      </c>
      <c r="B25" s="19" t="s">
        <v>205</v>
      </c>
      <c r="C25" s="61"/>
      <c r="D25" s="193">
        <f>A25*E25</f>
        <v>252015</v>
      </c>
      <c r="E25" s="193">
        <f>IF('Cuidado infantil en centros'!C$21="BLS ($15 MW adj)",Wages!F$4,
IF('Cuidado infantil en centros'!C$21='Cuidado infantil en centros'!L19,Wages!F$5,
IF('Cuidado infantil en centros'!C$21='Cuidado infantil en centros'!L20,Wages!F$6,
IF('Cuidado infantil en centros'!C$21="Usuario ingresado",Wages!F$7,))))</f>
        <v>50403</v>
      </c>
      <c r="F25" s="91"/>
      <c r="G25" s="64"/>
      <c r="J25" s="13"/>
      <c r="K25" s="706"/>
    </row>
    <row r="26" spans="1:18">
      <c r="A26" s="50">
        <f>F12</f>
        <v>0</v>
      </c>
      <c r="B26" s="19" t="s">
        <v>206</v>
      </c>
      <c r="C26" s="61"/>
      <c r="D26" s="193">
        <f>A26*E26</f>
        <v>0</v>
      </c>
      <c r="E26" s="193">
        <f>E24*G26</f>
        <v>39314.400000000001</v>
      </c>
      <c r="F26" s="253" t="s">
        <v>207</v>
      </c>
      <c r="G26" s="61">
        <v>0.6</v>
      </c>
    </row>
    <row r="27" spans="1:18">
      <c r="A27" s="50">
        <f>E12-F12</f>
        <v>0</v>
      </c>
      <c r="B27" s="19" t="s">
        <v>208</v>
      </c>
      <c r="C27" s="61"/>
      <c r="D27" s="193">
        <f>A27*E27</f>
        <v>0</v>
      </c>
      <c r="E27" s="193">
        <f>E25*G26</f>
        <v>30241.8</v>
      </c>
      <c r="F27" s="91"/>
      <c r="G27" s="64"/>
    </row>
    <row r="28" spans="1:18">
      <c r="A28" s="50">
        <f>SUM(E7:E11)*F14</f>
        <v>1.8</v>
      </c>
      <c r="B28" s="20" t="s">
        <v>209</v>
      </c>
      <c r="C28" s="61"/>
      <c r="D28" s="150">
        <f>E28*A28</f>
        <v>90725.400000000009</v>
      </c>
      <c r="E28" s="405">
        <f>E25</f>
        <v>50403</v>
      </c>
      <c r="G28" s="91"/>
      <c r="I28" s="193">
        <f>SUM(D28,D33:D35)</f>
        <v>136320.72923076924</v>
      </c>
    </row>
    <row r="29" spans="1:18">
      <c r="A29" s="402">
        <f>IF('Cuidado infantil en centros'!D39='Cuidado infantil en centros'!L39,0,IF('Cuidado infantil en centros'!D39='Cuidado infantil en centros'!M39,('Cuidado infantil en centros'!F39/8),IF('Cuidado infantil en centros'!D39='Cuidado infantil en centros'!N39,'Cuidado infantil en centros'!F39/4)))</f>
        <v>0</v>
      </c>
      <c r="B29" s="20" t="s">
        <v>210</v>
      </c>
      <c r="C29" s="61"/>
      <c r="D29" s="150">
        <f>E29*A29</f>
        <v>0</v>
      </c>
      <c r="E29" s="189">
        <f>E25</f>
        <v>50403</v>
      </c>
      <c r="G29" s="252"/>
    </row>
    <row r="30" spans="1:18">
      <c r="A30" s="58">
        <f>SUM(A24:A29)</f>
        <v>10.8</v>
      </c>
      <c r="B30" s="22" t="s">
        <v>211</v>
      </c>
      <c r="D30" s="225">
        <f>SUM(D24:D29)</f>
        <v>604836.4</v>
      </c>
      <c r="F30" s="57"/>
      <c r="O30" s="8"/>
    </row>
    <row r="31" spans="1:18">
      <c r="B31" s="22" t="s">
        <v>212</v>
      </c>
      <c r="D31" s="8">
        <f>D22+D30</f>
        <v>762217.9</v>
      </c>
      <c r="F31" s="8"/>
    </row>
    <row r="32" spans="1:18" ht="7.5" customHeight="1">
      <c r="B32" s="22"/>
    </row>
    <row r="33" spans="2:8">
      <c r="B33" s="19" t="s">
        <v>213</v>
      </c>
      <c r="D33" s="8">
        <f>SUM(A24:A28)*(E33*8)*E36</f>
        <v>20936.630769230767</v>
      </c>
      <c r="E33" s="164">
        <f>Paid_Leave</f>
        <v>10</v>
      </c>
      <c r="F33" s="19" t="s">
        <v>214</v>
      </c>
    </row>
    <row r="34" spans="2:8">
      <c r="B34" s="19" t="s">
        <v>215</v>
      </c>
      <c r="D34" s="8">
        <f>SUM(A24:A28)*(E34*8)*E36</f>
        <v>20936.630769230767</v>
      </c>
      <c r="E34" s="164">
        <f>Sick_Days</f>
        <v>10</v>
      </c>
      <c r="F34" s="19" t="s">
        <v>216</v>
      </c>
    </row>
    <row r="35" spans="2:8">
      <c r="B35" s="25" t="s">
        <v>217</v>
      </c>
      <c r="D35" s="8">
        <f>SUM(E35*E36)*A18</f>
        <v>3722.0676923076921</v>
      </c>
      <c r="E35" s="164">
        <v>12</v>
      </c>
      <c r="F35" s="19" t="s">
        <v>218</v>
      </c>
    </row>
    <row r="36" spans="2:8">
      <c r="B36" s="22" t="s">
        <v>219</v>
      </c>
      <c r="D36" s="150">
        <f>SUM(D33:D35)</f>
        <v>45595.329230769225</v>
      </c>
      <c r="E36" s="223">
        <f>E28/2080</f>
        <v>24.232211538461538</v>
      </c>
      <c r="F36" s="19" t="s">
        <v>220</v>
      </c>
    </row>
    <row r="37" spans="2:8" ht="6.6" customHeight="1">
      <c r="B37" s="22"/>
      <c r="D37" s="7"/>
    </row>
    <row r="38" spans="2:8">
      <c r="B38" s="22" t="s">
        <v>221</v>
      </c>
      <c r="C38" s="175"/>
      <c r="D38" s="9">
        <f>D31+D36</f>
        <v>807813.22923076921</v>
      </c>
    </row>
    <row r="39" spans="2:8">
      <c r="B39" s="49" t="s">
        <v>222</v>
      </c>
    </row>
    <row r="40" spans="2:8">
      <c r="B40" s="19" t="s">
        <v>223</v>
      </c>
      <c r="C40" s="55">
        <v>6.2E-2</v>
      </c>
      <c r="D40" s="8">
        <f>C40*D38</f>
        <v>50084.42021230769</v>
      </c>
    </row>
    <row r="41" spans="2:8" ht="15" customHeight="1">
      <c r="B41" s="19" t="s">
        <v>224</v>
      </c>
      <c r="C41" s="55">
        <v>1.4500000000000001E-2</v>
      </c>
      <c r="D41" s="8">
        <f>C41*D38</f>
        <v>11713.291823846153</v>
      </c>
      <c r="G41" s="14"/>
      <c r="H41" s="8" cm="1">
        <f t="array" ref="H41">SUM(D44+D46:D47)</f>
        <v>255912.75547230768</v>
      </c>
    </row>
    <row r="42" spans="2:8" ht="14.1" customHeight="1">
      <c r="B42" s="19" t="s">
        <v>225</v>
      </c>
      <c r="C42" s="303">
        <v>0.01</v>
      </c>
      <c r="D42" s="8">
        <f>C42*((7000*A18)+SUM(D33:D34))</f>
        <v>1314.7326153846154</v>
      </c>
      <c r="E42" s="59"/>
      <c r="F42" s="25"/>
    </row>
    <row r="43" spans="2:8" ht="15" customHeight="1">
      <c r="B43" s="19" t="s">
        <v>226</v>
      </c>
      <c r="C43" s="303">
        <v>0.02</v>
      </c>
      <c r="D43" s="8">
        <f>C43*D38</f>
        <v>16156.264584615385</v>
      </c>
      <c r="E43" s="59"/>
      <c r="F43" s="25"/>
    </row>
    <row r="44" spans="2:8" ht="12.6" customHeight="1">
      <c r="B44" s="22" t="s">
        <v>227</v>
      </c>
      <c r="C44" s="55">
        <f>SUM(C40:C43)</f>
        <v>0.1065</v>
      </c>
      <c r="D44" s="8">
        <f>SUM(D40:D43)</f>
        <v>79268.709236153838</v>
      </c>
      <c r="E44" s="8"/>
      <c r="F44" s="176"/>
      <c r="G44" s="14"/>
    </row>
    <row r="45" spans="2:8">
      <c r="B45" s="49" t="s">
        <v>228</v>
      </c>
      <c r="C45" s="168"/>
      <c r="D45" s="10"/>
      <c r="E45" s="8"/>
    </row>
    <row r="46" spans="2:8">
      <c r="B46" s="25" t="s">
        <v>229</v>
      </c>
      <c r="C46" s="21">
        <f>IF('Cuidado infantil en centros'!C26="No",0,IF(HealthIns="Si",5821,0))</f>
        <v>5821</v>
      </c>
      <c r="D46" s="8">
        <f>Addl_benefits_per_staff*A18</f>
        <v>74508.800000000003</v>
      </c>
      <c r="E46" s="2" t="s">
        <v>230</v>
      </c>
    </row>
    <row r="47" spans="2:8">
      <c r="B47" s="25" t="s">
        <v>231</v>
      </c>
      <c r="C47" s="52">
        <f>'Cuidado infantil en centros'!C27</f>
        <v>0.03</v>
      </c>
      <c r="D47" s="7">
        <f>C47*D31</f>
        <v>22866.537</v>
      </c>
      <c r="E47" s="2"/>
    </row>
    <row r="48" spans="2:8">
      <c r="B48" s="13" t="s">
        <v>232</v>
      </c>
      <c r="C48" s="10"/>
      <c r="D48" s="9">
        <f>D38+D44+D46+D47</f>
        <v>984457.27546692314</v>
      </c>
      <c r="E48" s="61">
        <f>D48/D67</f>
        <v>0.81458924899145047</v>
      </c>
      <c r="F48" s="19" t="s">
        <v>233</v>
      </c>
    </row>
    <row r="49" spans="1:13">
      <c r="B49" s="13"/>
      <c r="C49" s="10"/>
      <c r="D49" s="9"/>
      <c r="E49" s="61"/>
      <c r="H49" s="22"/>
    </row>
    <row r="50" spans="1:13">
      <c r="B50" s="87" t="s">
        <v>234</v>
      </c>
      <c r="C50" s="10"/>
      <c r="D50" s="9"/>
      <c r="E50" s="61"/>
      <c r="H50" s="85"/>
      <c r="I50" s="85"/>
    </row>
    <row r="51" spans="1:13">
      <c r="A51" s="273"/>
      <c r="B51" s="267" t="str">
        <f>QualVar!A9</f>
        <v>Family Engagement</v>
      </c>
      <c r="C51" s="274"/>
      <c r="D51" s="138">
        <f>IF('Cuidado infantil en centros'!D33='Cuidado infantil en centros'!L33,QualVar!B12,
IF('Cuidado infantil en centros'!D33='Cuidado infantil en centros'!M33,QualVar!C12,
IF('Cuidado infantil en centros'!D33='Cuidado infantil en centros'!N33,QualVar!D12,0)))</f>
        <v>0</v>
      </c>
      <c r="E51" s="61"/>
    </row>
    <row r="52" spans="1:13">
      <c r="A52" s="65"/>
      <c r="B52" s="267" t="str">
        <f>QualVar!A14</f>
        <v>Professional Development Supports</v>
      </c>
      <c r="C52" s="274"/>
      <c r="D52" s="138">
        <f>IF('Cuidado infantil en centros'!D34='Cuidado infantil en centros'!L34,QualVar!B17,
IF('Cuidado infantil en centros'!D34='Cuidado infantil en centros'!M34,QualVar!C17,
IF('Cuidado infantil en centros'!D34='Cuidado infantil en centros'!N34,QualVar!D17,0)))</f>
        <v>0</v>
      </c>
      <c r="E52" s="61"/>
    </row>
    <row r="53" spans="1:13">
      <c r="A53" s="65"/>
      <c r="B53" s="267" t="str">
        <f>QualVar!A19</f>
        <v>Planning Release Time</v>
      </c>
      <c r="C53" s="274"/>
      <c r="D53" s="138">
        <f>IF('Cuidado infantil en centros'!D35='Cuidado infantil en centros'!L35,QualVar!B22,
IF('Cuidado infantil en centros'!D35='Cuidado infantil en centros'!M35,QualVar!C22,
IF('Cuidado infantil en centros'!D35='Cuidado infantil en centros'!N35,QualVar!D22,0)))</f>
        <v>0</v>
      </c>
      <c r="E53" s="61"/>
    </row>
    <row r="54" spans="1:13">
      <c r="A54" s="65"/>
      <c r="B54" s="267" t="str">
        <f>QualVar!A25</f>
        <v>Educational Materials &amp; Curriculum</v>
      </c>
      <c r="C54" s="274"/>
      <c r="D54" s="138">
        <f>IF('Cuidado infantil en centros'!D36='Cuidado infantil en centros'!L36,QualVar!B30,
IF('Cuidado infantil en centros'!D36='Cuidado infantil en centros'!M36,QualVar!C30,
IF('Cuidado infantil en centros'!D36='Cuidado infantil en centros'!N36,QualVar!D30,0)))</f>
        <v>0</v>
      </c>
      <c r="E54" s="61"/>
    </row>
    <row r="55" spans="1:13">
      <c r="A55" s="65"/>
      <c r="B55" s="267" t="str">
        <f>QualVar!A33</f>
        <v>Inclusion Materials</v>
      </c>
      <c r="C55" s="274"/>
      <c r="D55" s="138">
        <f>IF('Cuidado infantil en centros'!D38='Cuidado infantil en centros'!L38,QualVar!B36,
IF('Cuidado infantil en centros'!D38='Cuidado infantil en centros'!M38,QualVar!C36,
IF('Cuidado infantil en centros'!D38='Cuidado infantil en centros'!N38,QualVar!D36,0)))</f>
        <v>0</v>
      </c>
      <c r="E55" s="61"/>
    </row>
    <row r="56" spans="1:13">
      <c r="A56" s="65"/>
      <c r="B56" s="267" t="str">
        <f>QualVar!A39</f>
        <v>Transportation</v>
      </c>
      <c r="C56" s="274"/>
      <c r="D56" s="138">
        <f>IF('Cuidado infantil en centros'!D37='Cuidado infantil en centros'!L37,QualVar!B43,
IF('Cuidado infantil en centros'!D37='Cuidado infantil en centros'!M37,QualVar!C43,
IF('Cuidado infantil en centros'!D37='Cuidado infantil en centros'!N37,QualVar!D43,
IF('Cuidado infantil en centros'!D37='Cuidado infantil en centros'!O37,QualVar!E43,0))))</f>
        <v>0</v>
      </c>
      <c r="E56" s="61"/>
    </row>
    <row r="57" spans="1:13">
      <c r="B57" s="13" t="s">
        <v>235</v>
      </c>
      <c r="C57" s="10"/>
      <c r="D57" s="224">
        <f>SUM(D51:D56)</f>
        <v>0</v>
      </c>
      <c r="H57" s="22"/>
    </row>
    <row r="58" spans="1:13">
      <c r="B58" s="1" t="s">
        <v>236</v>
      </c>
      <c r="C58" s="168"/>
      <c r="D58" s="10"/>
    </row>
    <row r="59" spans="1:13">
      <c r="A59" s="54"/>
      <c r="B59" s="25" t="s">
        <v>237</v>
      </c>
      <c r="C59" s="168"/>
      <c r="D59" s="21">
        <f>IF(C$69="Urbano",SUM('Nonpersonnel PCQC'!D40*TotalChildren),IF(C$69="Rural",SUM('Nonpersonnel PCQC'!E40*TotalChildren),SUM('Nonpersonnel PCQC'!B40*TotalChildren)))</f>
        <v>101261.6</v>
      </c>
      <c r="F59" s="65"/>
      <c r="G59" s="65"/>
      <c r="H59" s="65"/>
      <c r="I59" s="65"/>
      <c r="J59" s="65"/>
      <c r="K59" s="65"/>
      <c r="L59" s="65"/>
      <c r="M59" s="65"/>
    </row>
    <row r="60" spans="1:13">
      <c r="A60" s="56"/>
      <c r="B60" s="25" t="s">
        <v>238</v>
      </c>
      <c r="C60" s="51"/>
      <c r="D60" s="21">
        <f>IF(C$69="Urbano",SUM('Nonpersonnel PCQC'!D39*TotalClassrooms),IF(C$69="Rural",SUM('Nonpersonnel PCQC'!E39*TotalClassrooms),SUM('Nonpersonnel PCQC'!B39*TotalClassrooms)))</f>
        <v>43708</v>
      </c>
    </row>
    <row r="61" spans="1:13">
      <c r="A61" s="54"/>
      <c r="B61" s="25" t="s">
        <v>239</v>
      </c>
      <c r="C61" s="51"/>
      <c r="D61" s="21">
        <f>IF(C$69="Urbano",SUM('Nonpersonnel PCQC'!D38*TotalChildren),IF(C$69="Rural",SUM('Nonpersonnel PCQC'!E38*TotalChildren),SUM('Nonpersonnel PCQC'!B38*TotalChildren)))</f>
        <v>21556.099999999995</v>
      </c>
      <c r="E61" s="168"/>
      <c r="G61" s="168"/>
    </row>
    <row r="62" spans="1:13">
      <c r="B62" s="25" t="s">
        <v>240</v>
      </c>
      <c r="C62" s="51"/>
      <c r="D62" s="21"/>
      <c r="E62" s="168"/>
    </row>
    <row r="63" spans="1:13">
      <c r="A63" s="54"/>
      <c r="B63" s="13" t="s">
        <v>241</v>
      </c>
      <c r="C63" s="9"/>
      <c r="D63" s="53">
        <f>SUM(D57:D62)</f>
        <v>166525.70000000001</v>
      </c>
      <c r="E63" s="61">
        <f>D63/D67</f>
        <v>0.13779170338950206</v>
      </c>
      <c r="F63" s="19" t="s">
        <v>233</v>
      </c>
      <c r="G63" s="276"/>
    </row>
    <row r="64" spans="1:13">
      <c r="A64" s="54"/>
      <c r="B64" s="13"/>
      <c r="C64" s="9"/>
      <c r="D64" s="53"/>
    </row>
    <row r="65" spans="1:15" ht="12.95" customHeight="1">
      <c r="A65" s="54"/>
      <c r="B65" s="25" t="s">
        <v>242</v>
      </c>
      <c r="D65" s="21">
        <f>E65*(Personnel+Nonpersonnel)</f>
        <v>57549.148773346154</v>
      </c>
      <c r="E65" s="173">
        <v>0.05</v>
      </c>
      <c r="F65" s="19" t="s">
        <v>233</v>
      </c>
      <c r="L65" s="22"/>
      <c r="M65" s="22"/>
      <c r="N65" s="22"/>
      <c r="O65" s="8"/>
    </row>
    <row r="66" spans="1:15" ht="12.95" customHeight="1">
      <c r="A66" s="54"/>
      <c r="B66" s="25"/>
      <c r="D66" s="21"/>
      <c r="E66" s="61"/>
      <c r="L66" s="22"/>
      <c r="M66" s="22"/>
      <c r="N66" s="22"/>
      <c r="O66" s="8"/>
    </row>
    <row r="67" spans="1:15">
      <c r="A67" s="65"/>
      <c r="B67" s="13" t="s">
        <v>243</v>
      </c>
      <c r="D67" s="41">
        <f>SUM(Personnel+Nonpersonnel+Reserve_Fund)</f>
        <v>1208532.1242402692</v>
      </c>
      <c r="G67" s="65"/>
    </row>
    <row r="68" spans="1:15">
      <c r="D68" s="21"/>
      <c r="G68" s="85"/>
      <c r="J68" s="85"/>
      <c r="K68" s="85"/>
      <c r="L68" s="85"/>
      <c r="M68" s="85"/>
      <c r="N68" s="85"/>
    </row>
    <row r="69" spans="1:15" ht="14.1">
      <c r="B69" s="135" t="s">
        <v>244</v>
      </c>
      <c r="C69" s="174" t="str">
        <f>'Cuidado infantil en centros'!C6</f>
        <v>En todo el estado</v>
      </c>
      <c r="D69" s="194" t="s">
        <v>245</v>
      </c>
      <c r="E69" s="185"/>
      <c r="J69" s="185" t="s">
        <v>246</v>
      </c>
      <c r="K69" s="185" t="s">
        <v>247</v>
      </c>
      <c r="L69" s="185" t="s">
        <v>248</v>
      </c>
    </row>
    <row r="70" spans="1:15" ht="21.95" customHeight="1">
      <c r="A70" s="19" t="s">
        <v>249</v>
      </c>
      <c r="B70" s="22" t="s">
        <v>250</v>
      </c>
      <c r="C70" s="174" t="str">
        <f>'Cuidado infantil en centros'!C59</f>
        <v>Licencia</v>
      </c>
      <c r="D70" s="186"/>
      <c r="E70" s="187"/>
      <c r="F70" s="188"/>
      <c r="G70" s="188"/>
      <c r="I70" s="185" t="s">
        <v>246</v>
      </c>
    </row>
    <row r="71" spans="1:15" ht="21.95" customHeight="1">
      <c r="B71" s="22" t="s">
        <v>251</v>
      </c>
      <c r="C71" s="174" t="str">
        <f>'Cuidado infantil en centros'!C60</f>
        <v>Usuario ingresado</v>
      </c>
      <c r="D71" s="186"/>
      <c r="E71" s="187"/>
      <c r="F71" s="188"/>
      <c r="G71" s="188"/>
      <c r="I71" s="185"/>
    </row>
    <row r="72" spans="1:15">
      <c r="A72" s="183">
        <f>SUM(A74:A86)</f>
        <v>56</v>
      </c>
      <c r="B72" s="1" t="s">
        <v>252</v>
      </c>
      <c r="C72" s="319" t="s">
        <v>253</v>
      </c>
      <c r="D72" s="227" t="s">
        <v>203</v>
      </c>
      <c r="E72" s="65"/>
      <c r="F72" s="65"/>
    </row>
    <row r="73" spans="1:15">
      <c r="A73" s="396"/>
      <c r="B73" s="19" t="s">
        <v>254</v>
      </c>
      <c r="C73" s="63"/>
      <c r="D73" s="227">
        <f>SUM(('Cuidado infantil en centros'!C54*'Fed CACFP'!K8),('Cuidado infantil en centros'!D54*'Fed CACFP'!J6))*52</f>
        <v>71707.999999999985</v>
      </c>
      <c r="E73" s="139"/>
      <c r="F73" s="731" t="s">
        <v>255</v>
      </c>
      <c r="G73" s="427" t="s">
        <v>256</v>
      </c>
      <c r="H73" s="428" t="s">
        <v>257</v>
      </c>
      <c r="I73" s="428" t="s">
        <v>258</v>
      </c>
      <c r="J73" s="428" t="s">
        <v>27</v>
      </c>
    </row>
    <row r="74" spans="1:15">
      <c r="A74" s="64">
        <f>'Cuidado infantil en centros'!D48</f>
        <v>2</v>
      </c>
      <c r="B74" s="19" t="s">
        <v>259</v>
      </c>
      <c r="C74" s="226">
        <f>SUM(F74*12)</f>
        <v>13438.1</v>
      </c>
      <c r="D74" s="226">
        <f t="shared" ref="D74:D82" si="24">A74*C74</f>
        <v>26876.2</v>
      </c>
      <c r="F74" s="665">
        <f>IF($C$71='Cuidado infantil en centros'!D$61,G74,IF($C$71='Cuidado infantil en centros'!D60,H74,IF($C$71='Cuidado infantil en centros'!F$61,I74,IF($C$71='Cuidado infantil en centros'!G$61,J74,0))))</f>
        <v>1119.8416666666667</v>
      </c>
      <c r="G74" s="318">
        <f>IF(C$69="Urbano",Tuition!B4,IF(C$69="Rural",Tuition!C4,IF(C$69="En todo el estado",Tuition!D4,)))</f>
        <v>888.33333333333326</v>
      </c>
      <c r="H74" s="318">
        <f>IF(C$69="Urbano",Tuition!B10,IF(C$69="Rural",Tuition!C10,IF(C$69="En todo el estado",Tuition!D10,)))</f>
        <v>1029.7083333333333</v>
      </c>
      <c r="I74" s="228">
        <f>IF(C$69="Urbano",Tuition!B17,IF(C$69="Rural",Tuition!C17,IF(C$69="En todo el estado",Tuition!D17,)))</f>
        <v>1119.8416666666667</v>
      </c>
      <c r="J74" s="228">
        <f>'Cuidado infantil en centros'!I55</f>
        <v>2000</v>
      </c>
    </row>
    <row r="75" spans="1:15">
      <c r="A75" s="64">
        <f>'Cuidado infantil en centros'!D49</f>
        <v>6</v>
      </c>
      <c r="B75" s="19" t="s">
        <v>260</v>
      </c>
      <c r="C75" s="226">
        <f>SUM(I75*12)</f>
        <v>12918.099999999999</v>
      </c>
      <c r="D75" s="226">
        <f t="shared" si="24"/>
        <v>77508.599999999991</v>
      </c>
      <c r="E75" s="21"/>
      <c r="F75" s="665">
        <f>IF($C$71='Cuidado infantil en centros'!D$61,G75,IF($C$71='Cuidado infantil en centros'!D60,H75,IF($C$71='Cuidado infantil en centros'!F$61,I75,IF($C$71='Cuidado infantil en centros'!G$61,J75,0))))</f>
        <v>1076.5083333333332</v>
      </c>
      <c r="G75" s="318">
        <f>IF(C$69="Urbano",Tuition!B5,IF(C$69="Rural",Tuition!C5,IF(C$69="En todo el estado",Tuition!D5,)))</f>
        <v>823.33333333333326</v>
      </c>
      <c r="H75" s="318">
        <f>IF(C$69="Urbano",Tuition!B11,IF(C$69="Rural",Tuition!C11,IF(C$69="En todo el estado",Tuition!D11,)))</f>
        <v>937.08333333333326</v>
      </c>
      <c r="I75" s="228">
        <f>IF(C$69="Urbano",Tuition!B18,IF(C$69="Rural",Tuition!C18,IF(C$69="En todo el estado",Tuition!D18,)))</f>
        <v>1076.5083333333332</v>
      </c>
      <c r="J75" s="228">
        <f>'Cuidado infantil en centros'!I56</f>
        <v>1800</v>
      </c>
    </row>
    <row r="76" spans="1:15">
      <c r="A76" s="64">
        <f>'Cuidado infantil en centros'!D50</f>
        <v>6</v>
      </c>
      <c r="B76" s="19" t="s">
        <v>261</v>
      </c>
      <c r="C76" s="226">
        <f t="shared" ref="C76:C79" si="25">SUM(I76*12)</f>
        <v>12918.099999999999</v>
      </c>
      <c r="D76" s="226">
        <f t="shared" si="24"/>
        <v>77508.599999999991</v>
      </c>
      <c r="E76" s="21"/>
      <c r="F76" s="665">
        <f>IF($C$71='Cuidado infantil en centros'!D$61,G76,IF($C$71='Cuidado infantil en centros'!D60,H76,IF($C$71='Cuidado infantil en centros'!F$61,I76,IF($C$71='Cuidado infantil en centros'!G$61,J76,0))))</f>
        <v>1076.5083333333332</v>
      </c>
      <c r="G76" s="223">
        <f>G75</f>
        <v>823.33333333333326</v>
      </c>
      <c r="H76" s="223">
        <f>H75</f>
        <v>937.08333333333326</v>
      </c>
      <c r="I76" s="425">
        <f>I75</f>
        <v>1076.5083333333332</v>
      </c>
      <c r="J76" s="228">
        <f>'Cuidado infantil en centros'!I57</f>
        <v>1500</v>
      </c>
    </row>
    <row r="77" spans="1:15">
      <c r="A77" s="64">
        <f>'Cuidado infantil en centros'!D51</f>
        <v>14</v>
      </c>
      <c r="B77" s="19" t="s">
        <v>262</v>
      </c>
      <c r="C77" s="226">
        <f t="shared" si="25"/>
        <v>12226.5</v>
      </c>
      <c r="D77" s="226">
        <f t="shared" si="24"/>
        <v>171171</v>
      </c>
      <c r="E77" s="21"/>
      <c r="F77" s="665">
        <f>IF($C$71='Cuidado infantil en centros'!D$61,G77,IF($C$71='Cuidado infantil en centros'!D60,H77,IF($C$71='Cuidado infantil en centros'!F$61,I77,IF($C$71='Cuidado infantil en centros'!G$61,J77,0))))</f>
        <v>1018.875</v>
      </c>
      <c r="G77" s="223">
        <f>G78</f>
        <v>769.16666666666674</v>
      </c>
      <c r="H77" s="223">
        <f>H78</f>
        <v>875.44166666666661</v>
      </c>
      <c r="I77" s="223">
        <f>I78</f>
        <v>1018.875</v>
      </c>
      <c r="J77" s="228">
        <f>'Cuidado infantil en centros'!I58</f>
        <v>1500</v>
      </c>
    </row>
    <row r="78" spans="1:15">
      <c r="A78" s="64">
        <f>'Cuidado infantil en centros'!D52</f>
        <v>0</v>
      </c>
      <c r="B78" s="19" t="s">
        <v>263</v>
      </c>
      <c r="C78" s="226">
        <f t="shared" si="25"/>
        <v>12226.5</v>
      </c>
      <c r="D78" s="226">
        <f t="shared" si="24"/>
        <v>0</v>
      </c>
      <c r="E78" s="21"/>
      <c r="F78" s="665">
        <f>IF($C$71='Cuidado infantil en centros'!D$61,G78,IF($C$71='Cuidado infantil en centros'!D60,H78,IF($C$71='Cuidado infantil en centros'!F$61,I78,IF($C$71='Cuidado infantil en centros'!G$61,J78,0))))</f>
        <v>1018.875</v>
      </c>
      <c r="G78" s="809">
        <f>IF(C$69="Urbano",Tuition!B6,IF(C$69="Rural",Tuition!C6,IF(C$69="En todo el estado",Tuition!D6,)))</f>
        <v>769.16666666666674</v>
      </c>
      <c r="H78" s="223">
        <f>IF(C$69="Urbano",Tuition!B12,IF(C$69="Rural",Tuition!C12,IF(C$69="En todo el estado",Tuition!D12,)))</f>
        <v>875.44166666666661</v>
      </c>
      <c r="I78" s="223">
        <f>IF(C$69="Urbano",Tuition!B19,IF(C$69="Rural",Tuition!C19,IF(C$69="En todo el estado",Tuition!D19,)))</f>
        <v>1018.875</v>
      </c>
      <c r="J78" s="228">
        <f>'Cuidado infantil en centros'!I59</f>
        <v>1200</v>
      </c>
    </row>
    <row r="79" spans="1:15">
      <c r="A79" s="64">
        <f>'Cuidado infantil en centros'!D53</f>
        <v>0</v>
      </c>
      <c r="B79" s="314" t="s">
        <v>264</v>
      </c>
      <c r="C79" s="226">
        <f t="shared" si="25"/>
        <v>11306.1</v>
      </c>
      <c r="D79" s="226">
        <f t="shared" si="24"/>
        <v>0</v>
      </c>
      <c r="E79" s="316"/>
      <c r="F79" s="665">
        <f>IF($C$71='Cuidado infantil en centros'!D$61,G79,IF($C$71='Cuidado infantil en centros'!D60,H79,IF($C$71='Cuidado infantil en centros'!F$61,I79,IF($C$71='Cuidado infantil en centros'!G$61,J79,0))))*0.6</f>
        <v>565.30500000000006</v>
      </c>
      <c r="G79" s="809">
        <f>IF(C$69="Urbano",Tuition!B7,IF(C$69="Rural",Tuition!C7,IF(C$69="En todo el estado",Tuition!D7,)))</f>
        <v>718.25</v>
      </c>
      <c r="H79" s="269">
        <f>IF(C$69="Urbano",Tuition!B13,IF(C$69="Rural",Tuition!C13,IF(C$69="En todo el estado",Tuition!D13,)))</f>
        <v>820.625</v>
      </c>
      <c r="I79" s="223">
        <f>IF(C$69="Urbano",Tuition!B20,IF(C$69="Rural",Tuition!C20,IF(C$69="En todo el estado",Tuition!D20,)))</f>
        <v>942.17500000000007</v>
      </c>
      <c r="J79" s="228">
        <f>'Cuidado infantil en centros'!I60</f>
        <v>800</v>
      </c>
    </row>
    <row r="80" spans="1:15">
      <c r="A80" s="64"/>
      <c r="C80" s="226"/>
      <c r="D80" s="426"/>
      <c r="E80" s="21"/>
      <c r="F80" s="730" t="str">
        <f>F73</f>
        <v>Monthly rate</v>
      </c>
      <c r="G80" s="427" t="s">
        <v>265</v>
      </c>
      <c r="H80" s="428" t="s">
        <v>93</v>
      </c>
      <c r="I80" s="428" t="s">
        <v>94</v>
      </c>
      <c r="J80" s="428" t="s">
        <v>95</v>
      </c>
    </row>
    <row r="81" spans="1:11">
      <c r="A81" s="64">
        <f>'Cuidado infantil en centros'!C48</f>
        <v>10</v>
      </c>
      <c r="B81" s="19" t="s">
        <v>266</v>
      </c>
      <c r="C81" s="226">
        <f>SUM(F81*12)</f>
        <v>10861.5</v>
      </c>
      <c r="D81" s="226">
        <f>A81*C81</f>
        <v>108615</v>
      </c>
      <c r="E81" s="21"/>
      <c r="F81" s="665">
        <f>IF($C$70="Licencia",G81,IF($C$70="Acc/Step 3",H81,IF($C$70="Step 4",I81,IF($C$70="Step 5",J81,0))))</f>
        <v>905.125</v>
      </c>
      <c r="G81" s="317">
        <f>IF($C$69="Urbano",'State Subsidy'!$B10,IF($C$69="Rural",'State Subsidy'!$D10,IF($C$69="En todo el estado",'State Subsidy'!$F10,)))</f>
        <v>905.125</v>
      </c>
      <c r="H81" s="317">
        <f>IF($C$69="Urbano",'State Subsidy'!$B23,IF($C$69="Rural",'State Subsidy'!$D23,IF($C$69="En todo el estado",'State Subsidy'!$F23,)))</f>
        <v>1081.6000000000001</v>
      </c>
      <c r="I81" s="317">
        <f>IF($C$69="Urbano",'State Subsidy'!$B36,IF($C$69="Rural",'State Subsidy'!$D36,IF($C$69="En todo el estado",'State Subsidy'!$F36,)))</f>
        <v>1135.875</v>
      </c>
      <c r="J81" s="317">
        <f>IF($C$69="Urbano",'State Subsidy'!$B49,IF($C$69="Rural",'State Subsidy'!$D49,IF($C$69="En todo el estado",'State Subsidy'!$F49,)))</f>
        <v>1192.75</v>
      </c>
      <c r="K81" s="318"/>
    </row>
    <row r="82" spans="1:11">
      <c r="A82" s="64">
        <f>'Cuidado infantil en centros'!C49</f>
        <v>6</v>
      </c>
      <c r="B82" s="19" t="s">
        <v>267</v>
      </c>
      <c r="C82" s="226">
        <f t="shared" ref="C82:C86" si="26">SUM(F82*12)</f>
        <v>9880</v>
      </c>
      <c r="D82" s="226">
        <f t="shared" si="24"/>
        <v>59280</v>
      </c>
      <c r="E82" s="21"/>
      <c r="F82" s="665">
        <f>IF($C$70="Licencia",G82,IF($C$70="Acc/Step 3",H82,IF($C$70="Step 4",I82,IF($C$70="Step 5",J82,0))))</f>
        <v>823.33333333333337</v>
      </c>
      <c r="G82" s="317">
        <f>IF($C$69="Urbano",'State Subsidy'!$B11,IF($C$69="Rural",'State Subsidy'!$D11,IF($C$69="En todo el estado",'State Subsidy'!$F11,)))</f>
        <v>823.33333333333337</v>
      </c>
      <c r="H82" s="317">
        <f>IF($C$69="Urbano",'State Subsidy'!$B24,IF($C$69="Rural",'State Subsidy'!$D24,IF($C$69="En todo el estado",'State Subsidy'!$F24,)))</f>
        <v>984.20833333333337</v>
      </c>
      <c r="I82" s="317">
        <f>IF($C$69="Urbano",'State Subsidy'!$B37,IF($C$69="Rural",'State Subsidy'!$D37,IF($C$69="En todo el estado",'State Subsidy'!$F37,)))</f>
        <v>1033.5</v>
      </c>
      <c r="J82" s="317">
        <f>IF($C$69="Urbano",'State Subsidy'!$B50,IF($C$69="Rural",'State Subsidy'!$D50,IF($C$69="En todo el estado",'State Subsidy'!$F50,)))</f>
        <v>1085.4999999999998</v>
      </c>
      <c r="K82" s="318"/>
    </row>
    <row r="83" spans="1:11">
      <c r="A83" s="64">
        <f>'Cuidado infantil en centros'!C50</f>
        <v>6</v>
      </c>
      <c r="B83" s="19" t="s">
        <v>268</v>
      </c>
      <c r="C83" s="226">
        <f t="shared" si="26"/>
        <v>9880</v>
      </c>
      <c r="D83" s="226">
        <f t="shared" ref="D83:D84" si="27">A83*C83</f>
        <v>59280</v>
      </c>
      <c r="E83" s="21"/>
      <c r="F83" s="665">
        <f>F82</f>
        <v>823.33333333333337</v>
      </c>
      <c r="G83" s="317">
        <f>G82</f>
        <v>823.33333333333337</v>
      </c>
      <c r="H83" s="317">
        <f t="shared" ref="H83:J83" si="28">H82</f>
        <v>984.20833333333337</v>
      </c>
      <c r="I83" s="317">
        <f t="shared" si="28"/>
        <v>1033.5</v>
      </c>
      <c r="J83" s="317">
        <f t="shared" si="28"/>
        <v>1085.4999999999998</v>
      </c>
      <c r="K83" s="318"/>
    </row>
    <row r="84" spans="1:11">
      <c r="A84" s="64">
        <f>'Cuidado infantil en centros'!C51</f>
        <v>6</v>
      </c>
      <c r="B84" s="19" t="s">
        <v>269</v>
      </c>
      <c r="C84" s="226">
        <f t="shared" si="26"/>
        <v>10505.300000000001</v>
      </c>
      <c r="D84" s="226">
        <f t="shared" si="27"/>
        <v>63031.8</v>
      </c>
      <c r="E84" s="21"/>
      <c r="F84" s="665">
        <f>F85</f>
        <v>875.44166666666672</v>
      </c>
      <c r="G84" s="317">
        <f>G85</f>
        <v>875.44166666666672</v>
      </c>
      <c r="H84" s="317">
        <f t="shared" ref="H84:J84" si="29">H85</f>
        <v>897.70416666666677</v>
      </c>
      <c r="I84" s="317">
        <f t="shared" si="29"/>
        <v>942.5</v>
      </c>
      <c r="J84" s="317">
        <f t="shared" si="29"/>
        <v>990.16666666666663</v>
      </c>
      <c r="K84" s="318"/>
    </row>
    <row r="85" spans="1:11">
      <c r="A85" s="64">
        <f>'Cuidado infantil en centros'!C52</f>
        <v>0</v>
      </c>
      <c r="B85" s="19" t="s">
        <v>270</v>
      </c>
      <c r="C85" s="226">
        <f t="shared" si="26"/>
        <v>10505.300000000001</v>
      </c>
      <c r="D85" s="226">
        <f>A85*C85</f>
        <v>0</v>
      </c>
      <c r="E85" s="21"/>
      <c r="F85" s="665">
        <f>IF($C$70="Licencia",G85,IF($C$70="Acc/Step 3",H85,IF($C$70="Step 4",I85,IF($C$70="Step 5",J85,0))))</f>
        <v>875.44166666666672</v>
      </c>
      <c r="G85" s="317">
        <f>IF($C$69="Urbano",'State Subsidy'!$B12,IF($C$69="Rural",'State Subsidy'!$D12,IF($C$69="En todo el estado",'State Subsidy'!$F12,)))</f>
        <v>875.44166666666672</v>
      </c>
      <c r="H85" s="317">
        <f>IF($C$69="Urbano",'State Subsidy'!$B25,IF($C$69="Rural",'State Subsidy'!$D25,IF($C$69="En todo el estado",'State Subsidy'!$F25,)))</f>
        <v>897.70416666666677</v>
      </c>
      <c r="I85" s="317">
        <f>IF($C$69="Urbano",'State Subsidy'!$B38,IF($C$69="Rural",'State Subsidy'!$D38,IF($C$69="En todo el estado",'State Subsidy'!$F38,)))</f>
        <v>942.5</v>
      </c>
      <c r="J85" s="317">
        <f>IF($C$69="Urbano",'State Subsidy'!$B51,IF($C$69="Rural",'State Subsidy'!$D51,IF($C$69="En todo el estado",'State Subsidy'!$F51,)))</f>
        <v>990.16666666666663</v>
      </c>
      <c r="K85" s="318"/>
    </row>
    <row r="86" spans="1:11">
      <c r="A86" s="64">
        <f>'Cuidado infantil en centros'!C53</f>
        <v>0</v>
      </c>
      <c r="B86" s="314" t="s">
        <v>271</v>
      </c>
      <c r="C86" s="315">
        <f t="shared" si="26"/>
        <v>5908.5</v>
      </c>
      <c r="D86" s="315">
        <f>A86*C86</f>
        <v>0</v>
      </c>
      <c r="E86" s="316"/>
      <c r="F86" s="665">
        <f>IF($C$70="Licencia",G86,IF($C$70="Acc/Step 3",H86,IF($C$70="Step 4",I86,IF($C$70="Step 5",J86,0))))*60%</f>
        <v>492.375</v>
      </c>
      <c r="G86" s="317">
        <f>IF($C$69="Urbano",'State Subsidy'!$B13,IF($C$69="Rural",'State Subsidy'!$D13,IF($C$69="En todo el estado",'State Subsidy'!$F13,)))</f>
        <v>820.625</v>
      </c>
      <c r="H86" s="317">
        <f>IF($C$69="Urbano",'State Subsidy'!$B26,IF($C$69="Rural",'State Subsidy'!$D26,IF($C$69="En todo el estado",'State Subsidy'!$F26,)))</f>
        <v>861.65625</v>
      </c>
      <c r="I86" s="317">
        <f>IF($C$69="Urbano",'State Subsidy'!$B39,IF($C$69="Rural",'State Subsidy'!$D39,IF($C$69="En todo el estado",'State Subsidy'!$F39,)))</f>
        <v>904.58333333333337</v>
      </c>
      <c r="J86" s="317">
        <f>IF($C$69="Urbano",'State Subsidy'!$B52,IF($C$69="Rural",'State Subsidy'!$D52,IF($C$69="En todo el estado",'State Subsidy'!$F52,)))</f>
        <v>950.08333333333314</v>
      </c>
      <c r="K86" s="318"/>
    </row>
    <row r="87" spans="1:11">
      <c r="B87" s="19" t="s">
        <v>272</v>
      </c>
      <c r="D87" s="179">
        <f>'Cuidado infantil en centros'!C57</f>
        <v>100000</v>
      </c>
      <c r="E87" s="21"/>
    </row>
    <row r="88" spans="1:11">
      <c r="B88" s="18"/>
      <c r="D88" s="184">
        <f>SUM(D73:D87)</f>
        <v>814979.2</v>
      </c>
      <c r="E88" s="20" t="s">
        <v>273</v>
      </c>
    </row>
    <row r="90" spans="1:11">
      <c r="B90" s="136" t="s">
        <v>274</v>
      </c>
      <c r="C90" s="65"/>
      <c r="D90" s="65"/>
      <c r="E90" s="65"/>
      <c r="F90" s="65"/>
    </row>
    <row r="91" spans="1:11">
      <c r="B91" s="65" t="s">
        <v>275</v>
      </c>
      <c r="C91" s="137">
        <f>BadDebt</f>
        <v>0.03</v>
      </c>
      <c r="D91" s="138">
        <f>(D88-D87)*C91</f>
        <v>21449.375999999997</v>
      </c>
      <c r="E91" s="65"/>
      <c r="F91" s="65"/>
    </row>
    <row r="92" spans="1:11">
      <c r="B92" s="65" t="s">
        <v>276</v>
      </c>
      <c r="C92" s="137">
        <f>EnrollEffic</f>
        <v>0.85</v>
      </c>
      <c r="D92" s="139">
        <f>(1-C92)*(D88-D91)</f>
        <v>119029.4736</v>
      </c>
      <c r="E92" s="65"/>
      <c r="F92" s="65"/>
    </row>
    <row r="93" spans="1:11">
      <c r="B93" s="65"/>
      <c r="C93" s="140"/>
      <c r="D93" s="141">
        <f>D88-D91-D92</f>
        <v>674500.35039999988</v>
      </c>
      <c r="E93" s="142" t="s">
        <v>277</v>
      </c>
      <c r="F93" s="65"/>
    </row>
    <row r="94" spans="1:11">
      <c r="B94" s="143" t="s">
        <v>278</v>
      </c>
      <c r="C94" s="143"/>
      <c r="D94" s="144">
        <f>D93-D67</f>
        <v>-534031.77384026931</v>
      </c>
      <c r="E94" s="145">
        <f>D94/D67</f>
        <v>-0.44188463271175576</v>
      </c>
      <c r="F94" s="143" t="s">
        <v>233</v>
      </c>
    </row>
  </sheetData>
  <mergeCells count="2">
    <mergeCell ref="G14:I14"/>
    <mergeCell ref="G15:I16"/>
  </mergeCells>
  <phoneticPr fontId="8" type="noConversion"/>
  <conditionalFormatting sqref="K24">
    <cfRule type="cellIs" dxfId="3" priority="1" operator="lessThan">
      <formula>0</formula>
    </cfRule>
  </conditionalFormatting>
  <pageMargins left="0.25" right="0.25" top="0.25" bottom="0.25" header="0" footer="0"/>
  <pageSetup paperSize="5" scale="92" orientation="landscape" horizontalDpi="4294967293" verticalDpi="0" r:id="rId1"/>
  <headerFooter alignWithMargins="0"/>
  <rowBreaks count="1" manualBreakCount="1">
    <brk id="48" max="16383" man="1"/>
  </rowBreaks>
  <colBreaks count="1" manualBreakCount="1">
    <brk id="19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FF632-0744-A047-A9A1-BB1F6115212B}">
  <sheetPr>
    <tabColor theme="6" tint="-0.499984740745262"/>
  </sheetPr>
  <dimension ref="A1:W205"/>
  <sheetViews>
    <sheetView tabSelected="1" topLeftCell="A166" zoomScale="125" zoomScaleNormal="110" workbookViewId="0">
      <selection activeCell="C58" sqref="C58"/>
    </sheetView>
  </sheetViews>
  <sheetFormatPr defaultColWidth="8.85546875" defaultRowHeight="12.95"/>
  <cols>
    <col min="1" max="1" width="3.140625" style="198" customWidth="1"/>
    <col min="2" max="2" width="33" style="198" customWidth="1"/>
    <col min="3" max="3" width="20.7109375" style="198" customWidth="1"/>
    <col min="4" max="4" width="16" style="198" customWidth="1"/>
    <col min="5" max="5" width="24" style="198" customWidth="1"/>
    <col min="6" max="6" width="27.28515625" style="198" customWidth="1"/>
    <col min="7" max="7" width="12.85546875" style="198" customWidth="1"/>
    <col min="8" max="8" width="21.140625" style="198" customWidth="1"/>
    <col min="9" max="9" width="30.85546875" style="198" customWidth="1"/>
    <col min="10" max="10" width="5.28515625" style="198" customWidth="1"/>
    <col min="11" max="11" width="7" style="198" customWidth="1"/>
    <col min="12" max="12" width="11" style="443" customWidth="1"/>
    <col min="13" max="13" width="11.140625" style="443" customWidth="1"/>
    <col min="14" max="15" width="9.7109375" style="443" bestFit="1" customWidth="1"/>
    <col min="16" max="23" width="8.85546875" style="751"/>
    <col min="24" max="16384" width="8.85546875" style="198"/>
  </cols>
  <sheetData>
    <row r="1" spans="1:17" ht="9" customHeight="1">
      <c r="A1" s="434"/>
      <c r="B1" s="435"/>
      <c r="C1" s="436"/>
      <c r="D1" s="436"/>
      <c r="E1" s="436"/>
      <c r="F1" s="436"/>
      <c r="G1" s="437" t="s">
        <v>5</v>
      </c>
      <c r="H1" s="438" t="s">
        <v>11</v>
      </c>
      <c r="I1" s="438" t="s">
        <v>279</v>
      </c>
      <c r="J1" s="438" t="s">
        <v>280</v>
      </c>
      <c r="K1" s="438" t="s">
        <v>8</v>
      </c>
      <c r="L1" s="824"/>
    </row>
    <row r="2" spans="1:17" ht="21" customHeight="1">
      <c r="A2" s="439"/>
      <c r="B2" s="440" t="s">
        <v>281</v>
      </c>
      <c r="C2" s="441"/>
      <c r="D2" s="441"/>
      <c r="E2" s="441"/>
      <c r="F2" s="441"/>
      <c r="G2" s="442"/>
      <c r="H2" s="443" t="s">
        <v>5</v>
      </c>
      <c r="I2" s="443" t="s">
        <v>282</v>
      </c>
      <c r="K2" s="444"/>
      <c r="L2" s="824"/>
    </row>
    <row r="3" spans="1:17" ht="8.1" customHeight="1">
      <c r="A3" s="445"/>
      <c r="B3" s="446"/>
      <c r="C3" s="441"/>
      <c r="D3" s="441"/>
      <c r="E3" s="441"/>
      <c r="F3" s="441"/>
      <c r="G3" s="442"/>
      <c r="H3" s="443" t="s">
        <v>5</v>
      </c>
      <c r="I3" s="443" t="s">
        <v>11</v>
      </c>
      <c r="J3" s="443" t="s">
        <v>283</v>
      </c>
      <c r="K3" s="444" t="s">
        <v>7</v>
      </c>
      <c r="L3" s="824"/>
    </row>
    <row r="4" spans="1:17">
      <c r="A4" s="447"/>
      <c r="B4" s="797" t="s">
        <v>284</v>
      </c>
      <c r="C4" s="449"/>
      <c r="D4" s="449"/>
      <c r="E4" s="449"/>
      <c r="F4" s="449"/>
      <c r="G4" s="449"/>
      <c r="H4" s="443"/>
      <c r="I4" s="443"/>
      <c r="J4" s="443"/>
      <c r="K4" s="444"/>
      <c r="L4" s="824"/>
    </row>
    <row r="5" spans="1:17" ht="14.1">
      <c r="A5" s="132"/>
      <c r="B5" s="448" t="s">
        <v>285</v>
      </c>
      <c r="C5" s="449"/>
      <c r="D5" s="449"/>
      <c r="E5" s="449"/>
      <c r="F5" s="449"/>
      <c r="G5" s="449"/>
      <c r="H5" s="443"/>
      <c r="I5" s="443"/>
      <c r="J5" s="443"/>
      <c r="K5" s="444"/>
      <c r="L5" s="824"/>
    </row>
    <row r="6" spans="1:17" ht="14.1">
      <c r="A6" s="450"/>
      <c r="B6" s="448"/>
      <c r="C6" s="449"/>
      <c r="D6" s="449"/>
      <c r="E6" s="449"/>
      <c r="F6" s="449"/>
      <c r="G6" s="449"/>
      <c r="H6" s="443"/>
      <c r="I6" s="443"/>
      <c r="J6" s="443"/>
      <c r="K6" s="443"/>
      <c r="L6" s="824"/>
    </row>
    <row r="7" spans="1:17" ht="18.95" customHeight="1">
      <c r="A7" s="445"/>
      <c r="B7" s="451" t="s">
        <v>12</v>
      </c>
      <c r="C7" s="452" t="s">
        <v>15</v>
      </c>
      <c r="D7" s="441"/>
      <c r="E7" s="443" t="s">
        <v>15</v>
      </c>
      <c r="F7" s="443" t="s">
        <v>16</v>
      </c>
      <c r="G7" s="443" t="s">
        <v>13</v>
      </c>
      <c r="H7" s="443"/>
      <c r="I7" s="443"/>
      <c r="J7" s="443"/>
      <c r="K7" s="443"/>
      <c r="L7" s="824"/>
    </row>
    <row r="8" spans="1:17" ht="15" customHeight="1">
      <c r="A8" s="445"/>
      <c r="B8" s="446"/>
      <c r="C8" s="441"/>
      <c r="D8" s="441"/>
      <c r="E8" s="441"/>
      <c r="F8" s="441"/>
      <c r="G8" s="441"/>
      <c r="H8" s="443" t="s">
        <v>5</v>
      </c>
      <c r="I8" s="443" t="s">
        <v>11</v>
      </c>
      <c r="J8" s="443" t="s">
        <v>282</v>
      </c>
      <c r="K8" s="751"/>
      <c r="L8" s="824"/>
    </row>
    <row r="9" spans="1:17">
      <c r="A9" s="445"/>
      <c r="B9" s="451" t="s">
        <v>286</v>
      </c>
      <c r="C9" s="451"/>
      <c r="D9" s="451"/>
      <c r="E9" s="451"/>
      <c r="F9" s="441"/>
      <c r="G9" s="441"/>
      <c r="H9" s="443"/>
      <c r="I9" s="453"/>
      <c r="J9" s="443"/>
      <c r="K9" s="443"/>
      <c r="L9" s="825"/>
      <c r="M9" s="826"/>
    </row>
    <row r="10" spans="1:17">
      <c r="A10" s="445"/>
      <c r="B10" s="454" t="s">
        <v>287</v>
      </c>
      <c r="C10" s="455" t="s">
        <v>288</v>
      </c>
      <c r="D10" s="446"/>
      <c r="E10" s="443"/>
      <c r="F10" s="885"/>
      <c r="G10" s="885"/>
      <c r="H10" s="885"/>
      <c r="I10" s="885"/>
      <c r="J10" s="885"/>
      <c r="K10" s="885"/>
      <c r="L10" s="825"/>
    </row>
    <row r="11" spans="1:17" ht="15.95" customHeight="1">
      <c r="A11" s="445"/>
      <c r="B11" s="457">
        <v>1</v>
      </c>
      <c r="C11" s="458" t="s">
        <v>289</v>
      </c>
      <c r="D11" s="443"/>
      <c r="E11" s="443"/>
      <c r="F11" s="885"/>
      <c r="G11" s="885"/>
      <c r="H11" s="885"/>
      <c r="I11" s="885"/>
      <c r="J11" s="885"/>
      <c r="K11" s="885"/>
      <c r="L11" s="834"/>
      <c r="M11" s="827"/>
    </row>
    <row r="12" spans="1:17" ht="17.100000000000001" customHeight="1">
      <c r="A12" s="445"/>
      <c r="B12" s="459">
        <v>1</v>
      </c>
      <c r="C12" s="458" t="s">
        <v>290</v>
      </c>
      <c r="D12" s="443"/>
      <c r="E12" s="443"/>
      <c r="F12" s="885"/>
      <c r="G12" s="885"/>
      <c r="H12" s="885"/>
      <c r="I12" s="885"/>
      <c r="J12" s="885"/>
      <c r="K12" s="885"/>
      <c r="L12" s="834"/>
      <c r="M12" s="827"/>
    </row>
    <row r="13" spans="1:17" ht="17.100000000000001" customHeight="1">
      <c r="A13" s="445"/>
      <c r="B13" s="459">
        <v>1</v>
      </c>
      <c r="C13" s="458" t="s">
        <v>104</v>
      </c>
      <c r="D13" s="443"/>
      <c r="E13" s="443"/>
      <c r="F13" s="456"/>
      <c r="G13" s="456"/>
      <c r="H13" s="456"/>
      <c r="I13" s="456"/>
      <c r="J13" s="456"/>
      <c r="K13" s="456"/>
      <c r="L13" s="834"/>
      <c r="M13" s="827"/>
    </row>
    <row r="14" spans="1:17" ht="17.100000000000001" customHeight="1">
      <c r="A14" s="445"/>
      <c r="B14" s="459">
        <v>1</v>
      </c>
      <c r="C14" s="458" t="s">
        <v>105</v>
      </c>
      <c r="D14" s="443"/>
      <c r="E14" s="443"/>
      <c r="F14" s="456"/>
      <c r="G14" s="456"/>
      <c r="H14" s="456"/>
      <c r="I14" s="456"/>
      <c r="J14" s="456"/>
      <c r="K14" s="456"/>
      <c r="L14" s="834"/>
      <c r="M14" s="827"/>
    </row>
    <row r="15" spans="1:17" ht="15" customHeight="1">
      <c r="A15" s="445"/>
      <c r="B15" s="460">
        <v>0</v>
      </c>
      <c r="C15" s="458" t="s">
        <v>107</v>
      </c>
      <c r="D15" s="443"/>
      <c r="E15" s="441"/>
      <c r="F15" s="885"/>
      <c r="G15" s="885"/>
      <c r="H15" s="885"/>
      <c r="I15" s="885"/>
      <c r="J15" s="885"/>
      <c r="K15" s="885"/>
      <c r="L15" s="834"/>
      <c r="M15" s="827"/>
      <c r="N15" s="442"/>
      <c r="O15" s="442"/>
      <c r="P15" s="197"/>
      <c r="Q15" s="197"/>
    </row>
    <row r="16" spans="1:17" ht="17.100000000000001" customHeight="1">
      <c r="A16" s="445"/>
      <c r="B16" s="452"/>
      <c r="C16" s="458" t="s">
        <v>73</v>
      </c>
      <c r="D16" s="443"/>
      <c r="E16" s="446"/>
      <c r="F16" s="885"/>
      <c r="G16" s="885"/>
      <c r="H16" s="885"/>
      <c r="I16" s="885"/>
      <c r="J16" s="885"/>
      <c r="K16" s="886"/>
      <c r="L16" s="827"/>
      <c r="M16" s="827"/>
      <c r="N16" s="442"/>
      <c r="O16" s="442"/>
      <c r="P16" s="197"/>
      <c r="Q16" s="197"/>
    </row>
    <row r="17" spans="1:23" ht="17.100000000000001" customHeight="1" thickBot="1">
      <c r="A17" s="445"/>
      <c r="B17" s="461">
        <f>SUM(B11:B16)</f>
        <v>4</v>
      </c>
      <c r="C17" s="462" t="s">
        <v>291</v>
      </c>
      <c r="D17" s="441"/>
      <c r="E17" s="441"/>
      <c r="F17" s="885"/>
      <c r="G17" s="885"/>
      <c r="H17" s="885"/>
      <c r="I17" s="885"/>
      <c r="J17" s="885"/>
      <c r="K17" s="886"/>
      <c r="N17" s="442"/>
      <c r="O17" s="442"/>
      <c r="P17" s="197"/>
      <c r="Q17" s="197"/>
    </row>
    <row r="18" spans="1:23" ht="12.75" customHeight="1">
      <c r="A18" s="463"/>
      <c r="B18" s="464" t="str">
        <f>IF(B17&gt;12, "supera la capacidad de la licencia"," " )</f>
        <v xml:space="preserve"> </v>
      </c>
      <c r="C18" s="464"/>
      <c r="D18" s="449"/>
      <c r="E18" s="446"/>
      <c r="F18" s="441"/>
      <c r="G18" s="465" t="s">
        <v>36</v>
      </c>
      <c r="H18" s="466"/>
      <c r="I18" s="467"/>
      <c r="J18" s="441"/>
      <c r="K18" s="468"/>
      <c r="N18" s="442"/>
      <c r="O18" s="442"/>
      <c r="P18" s="197"/>
      <c r="Q18" s="197"/>
    </row>
    <row r="19" spans="1:23">
      <c r="A19" s="445"/>
      <c r="B19" s="451" t="s">
        <v>32</v>
      </c>
      <c r="C19" s="469"/>
      <c r="D19" s="470"/>
      <c r="E19" s="451"/>
      <c r="F19" s="441"/>
      <c r="G19" s="471"/>
      <c r="H19" s="759" t="s">
        <v>37</v>
      </c>
      <c r="I19" s="472" t="s">
        <v>38</v>
      </c>
      <c r="J19" s="441"/>
      <c r="K19" s="468"/>
      <c r="L19" s="340" t="s">
        <v>292</v>
      </c>
      <c r="N19" s="442"/>
      <c r="O19" s="442"/>
      <c r="P19" s="197"/>
      <c r="Q19" s="197"/>
    </row>
    <row r="20" spans="1:23" ht="12.95" customHeight="1">
      <c r="A20" s="445"/>
      <c r="B20" s="473" t="s">
        <v>34</v>
      </c>
      <c r="C20" s="711" t="s">
        <v>292</v>
      </c>
      <c r="D20" s="815"/>
      <c r="E20" s="887" t="s">
        <v>293</v>
      </c>
      <c r="F20" s="888"/>
      <c r="G20" s="474"/>
      <c r="H20" s="475" t="s">
        <v>294</v>
      </c>
      <c r="I20" s="350">
        <v>20000</v>
      </c>
      <c r="J20" s="441"/>
      <c r="K20" s="468"/>
      <c r="L20" s="342" t="s">
        <v>31</v>
      </c>
      <c r="N20" s="442"/>
      <c r="O20" s="442"/>
      <c r="P20" s="197"/>
      <c r="Q20" s="197"/>
    </row>
    <row r="21" spans="1:23" ht="14.1" thickBot="1">
      <c r="A21" s="445"/>
      <c r="B21" s="442"/>
      <c r="C21" s="442"/>
      <c r="D21" s="476"/>
      <c r="E21" s="887"/>
      <c r="F21" s="888"/>
      <c r="G21" s="760"/>
      <c r="H21" s="159" t="s">
        <v>295</v>
      </c>
      <c r="I21" s="352">
        <v>10000</v>
      </c>
      <c r="J21" s="441"/>
      <c r="K21" s="468"/>
      <c r="L21" s="343" t="s">
        <v>33</v>
      </c>
      <c r="N21" s="442"/>
      <c r="O21" s="442"/>
      <c r="P21" s="197"/>
      <c r="Q21" s="197"/>
    </row>
    <row r="22" spans="1:23">
      <c r="A22" s="445"/>
      <c r="B22" s="442"/>
      <c r="C22" s="476"/>
      <c r="D22" s="266"/>
      <c r="E22" s="266"/>
      <c r="F22" s="266"/>
      <c r="G22" s="441"/>
      <c r="H22" s="441"/>
      <c r="I22" s="441"/>
      <c r="J22" s="441"/>
      <c r="K22" s="468"/>
      <c r="L22" s="443" t="s">
        <v>4</v>
      </c>
      <c r="N22" s="442"/>
      <c r="O22" s="442"/>
      <c r="P22" s="197"/>
      <c r="Q22" s="197"/>
    </row>
    <row r="23" spans="1:23">
      <c r="A23" s="445"/>
      <c r="B23" s="477" t="s">
        <v>41</v>
      </c>
      <c r="C23" s="477"/>
      <c r="D23" s="477"/>
      <c r="E23" s="451"/>
      <c r="F23" s="441"/>
      <c r="G23" s="441"/>
      <c r="H23" s="441"/>
      <c r="I23" s="441"/>
      <c r="J23" s="441"/>
      <c r="K23" s="468"/>
      <c r="L23" s="828"/>
      <c r="N23" s="442"/>
      <c r="O23" s="442"/>
      <c r="P23" s="197"/>
      <c r="Q23" s="197"/>
    </row>
    <row r="24" spans="1:23" ht="17.100000000000001" customHeight="1">
      <c r="A24" s="445"/>
      <c r="B24" s="92" t="s">
        <v>296</v>
      </c>
      <c r="C24" s="452" t="s">
        <v>46</v>
      </c>
      <c r="D24" s="478" t="s">
        <v>297</v>
      </c>
      <c r="E24" s="479"/>
      <c r="F24" s="479"/>
      <c r="G24" s="441"/>
      <c r="H24" s="441"/>
      <c r="I24" s="441"/>
      <c r="J24" s="441"/>
      <c r="K24" s="468"/>
      <c r="N24" s="442"/>
      <c r="O24" s="442"/>
      <c r="P24" s="197"/>
      <c r="Q24" s="197"/>
    </row>
    <row r="25" spans="1:23" ht="17.100000000000001" customHeight="1">
      <c r="A25" s="445"/>
      <c r="B25" s="93" t="s">
        <v>47</v>
      </c>
      <c r="C25" s="480">
        <v>0</v>
      </c>
      <c r="D25" s="478"/>
      <c r="E25" s="479"/>
      <c r="F25" s="479"/>
      <c r="G25" s="441"/>
      <c r="H25" s="441"/>
      <c r="I25" s="441"/>
      <c r="J25" s="441"/>
      <c r="K25" s="481"/>
      <c r="N25" s="442"/>
      <c r="O25" s="442"/>
      <c r="P25" s="197"/>
      <c r="Q25" s="197"/>
    </row>
    <row r="26" spans="1:23" ht="17.100000000000001" customHeight="1">
      <c r="A26" s="445"/>
      <c r="B26" s="93" t="s">
        <v>49</v>
      </c>
      <c r="C26" s="816">
        <v>10</v>
      </c>
      <c r="D26" s="482" t="s">
        <v>50</v>
      </c>
      <c r="E26" s="483"/>
      <c r="F26" s="483"/>
      <c r="G26" s="441"/>
      <c r="H26" s="441"/>
      <c r="I26" s="441"/>
      <c r="J26" s="441"/>
      <c r="K26" s="468"/>
      <c r="N26" s="442"/>
      <c r="O26" s="442"/>
      <c r="P26" s="197"/>
      <c r="Q26" s="197"/>
    </row>
    <row r="27" spans="1:23" ht="17.100000000000001" customHeight="1">
      <c r="A27" s="445"/>
      <c r="B27" s="94" t="s">
        <v>51</v>
      </c>
      <c r="C27" s="816">
        <v>10</v>
      </c>
      <c r="D27" s="478" t="s">
        <v>52</v>
      </c>
      <c r="E27" s="441"/>
      <c r="F27" s="441"/>
      <c r="G27" s="441"/>
      <c r="H27" s="441"/>
      <c r="I27" s="441"/>
      <c r="J27" s="441"/>
      <c r="K27" s="468"/>
      <c r="L27" s="443" t="s">
        <v>44</v>
      </c>
      <c r="M27" s="443" t="s">
        <v>46</v>
      </c>
      <c r="N27" s="442"/>
      <c r="O27" s="442"/>
      <c r="P27" s="197"/>
      <c r="Q27" s="197"/>
    </row>
    <row r="28" spans="1:23">
      <c r="A28" s="445"/>
      <c r="C28" s="441"/>
      <c r="D28" s="441"/>
      <c r="E28" s="441"/>
      <c r="F28" s="441"/>
      <c r="G28" s="441"/>
      <c r="H28" s="441"/>
      <c r="I28" s="441"/>
      <c r="J28" s="441"/>
      <c r="K28" s="468"/>
      <c r="N28" s="442"/>
      <c r="O28" s="442"/>
      <c r="P28" s="197"/>
      <c r="Q28" s="197"/>
    </row>
    <row r="29" spans="1:23" s="18" customFormat="1">
      <c r="A29" s="120"/>
      <c r="B29" s="372" t="s">
        <v>53</v>
      </c>
      <c r="C29" s="373"/>
      <c r="D29" s="386"/>
      <c r="E29" s="451"/>
      <c r="F29" s="105"/>
      <c r="G29" s="99"/>
      <c r="H29" s="99"/>
      <c r="I29" s="99"/>
      <c r="J29" s="99"/>
      <c r="K29" s="121"/>
      <c r="L29" s="114"/>
      <c r="M29" s="114"/>
      <c r="N29" s="114"/>
      <c r="O29" s="114"/>
      <c r="P29" s="733"/>
      <c r="Q29" s="733"/>
      <c r="R29" s="733"/>
      <c r="S29" s="733"/>
      <c r="T29" s="733"/>
      <c r="U29" s="733"/>
      <c r="V29" s="733"/>
      <c r="W29" s="733"/>
    </row>
    <row r="30" spans="1:23" customFormat="1" ht="17.100000000000001" customHeight="1">
      <c r="A30" s="113"/>
      <c r="B30" s="861"/>
      <c r="C30" s="862"/>
      <c r="D30" s="872" t="s">
        <v>54</v>
      </c>
      <c r="E30" s="873"/>
      <c r="F30" s="104"/>
      <c r="G30" s="98"/>
      <c r="H30" s="98"/>
      <c r="I30" s="98"/>
      <c r="J30" s="98"/>
      <c r="K30" s="119"/>
      <c r="L30" s="342"/>
      <c r="M30" s="114"/>
      <c r="N30" s="114"/>
      <c r="O30" s="114"/>
      <c r="P30" s="733"/>
      <c r="Q30" s="733"/>
      <c r="R30" s="733"/>
      <c r="S30" s="733"/>
      <c r="T30" s="733"/>
      <c r="U30" s="733"/>
      <c r="V30" s="733"/>
      <c r="W30" s="733"/>
    </row>
    <row r="31" spans="1:23" customFormat="1" ht="17.100000000000001" customHeight="1">
      <c r="A31" s="113"/>
      <c r="B31" s="859" t="s">
        <v>55</v>
      </c>
      <c r="C31" s="860"/>
      <c r="D31" s="874" t="s">
        <v>56</v>
      </c>
      <c r="E31" s="874"/>
      <c r="H31" s="98"/>
      <c r="I31" s="305"/>
      <c r="J31" s="192"/>
      <c r="K31" s="119"/>
      <c r="L31" s="114" t="s">
        <v>56</v>
      </c>
      <c r="M31" s="114" t="s">
        <v>57</v>
      </c>
      <c r="N31" s="114" t="s">
        <v>58</v>
      </c>
      <c r="O31" s="114"/>
      <c r="P31" s="733"/>
      <c r="Q31" s="733"/>
      <c r="R31" s="733"/>
      <c r="S31" s="733"/>
      <c r="T31" s="733"/>
      <c r="U31" s="733"/>
      <c r="V31" s="733"/>
      <c r="W31" s="733"/>
    </row>
    <row r="32" spans="1:23" customFormat="1" ht="17.100000000000001" customHeight="1">
      <c r="A32" s="113"/>
      <c r="B32" s="433"/>
      <c r="C32" s="336" t="s">
        <v>59</v>
      </c>
      <c r="D32" s="874" t="s">
        <v>60</v>
      </c>
      <c r="E32" s="874"/>
      <c r="F32" s="104"/>
      <c r="G32" s="104"/>
      <c r="H32" s="106"/>
      <c r="I32" s="98"/>
      <c r="J32" s="192"/>
      <c r="K32" s="119"/>
      <c r="L32" s="114" t="s">
        <v>60</v>
      </c>
      <c r="M32" s="114" t="s">
        <v>298</v>
      </c>
      <c r="N32" s="114" t="s">
        <v>299</v>
      </c>
      <c r="O32" s="114"/>
      <c r="P32" s="733"/>
      <c r="Q32" s="733"/>
      <c r="R32" s="733"/>
      <c r="S32" s="733"/>
      <c r="T32" s="733"/>
      <c r="U32" s="733"/>
      <c r="V32" s="733"/>
      <c r="W32" s="733"/>
    </row>
    <row r="33" spans="1:23" customFormat="1" ht="17.100000000000001" customHeight="1">
      <c r="A33" s="113"/>
      <c r="B33" s="865" t="s">
        <v>63</v>
      </c>
      <c r="C33" s="866"/>
      <c r="D33" s="874" t="s">
        <v>71</v>
      </c>
      <c r="E33" s="874"/>
      <c r="F33" s="205"/>
      <c r="G33" s="98"/>
      <c r="H33" s="106"/>
      <c r="I33" s="98"/>
      <c r="J33" s="192"/>
      <c r="K33" s="119"/>
      <c r="L33" s="114" t="s">
        <v>71</v>
      </c>
      <c r="M33" s="114" t="s">
        <v>300</v>
      </c>
      <c r="N33" s="114" t="s">
        <v>301</v>
      </c>
      <c r="O33" s="114"/>
      <c r="P33" s="733"/>
      <c r="Q33" s="733"/>
      <c r="R33" s="733"/>
      <c r="S33" s="733"/>
      <c r="T33" s="733"/>
      <c r="U33" s="733"/>
      <c r="V33" s="733"/>
      <c r="W33" s="733"/>
    </row>
    <row r="34" spans="1:23" customFormat="1" ht="17.100000000000001" customHeight="1">
      <c r="A34" s="113"/>
      <c r="B34" s="865" t="s">
        <v>66</v>
      </c>
      <c r="C34" s="866"/>
      <c r="D34" s="874" t="s">
        <v>302</v>
      </c>
      <c r="E34" s="874"/>
      <c r="F34" s="106"/>
      <c r="G34" s="104"/>
      <c r="H34" s="106"/>
      <c r="I34" s="98"/>
      <c r="J34" s="192"/>
      <c r="K34" s="119"/>
      <c r="L34" s="114" t="s">
        <v>302</v>
      </c>
      <c r="M34" s="114" t="s">
        <v>303</v>
      </c>
      <c r="N34" s="114" t="s">
        <v>304</v>
      </c>
      <c r="O34" s="114"/>
      <c r="P34" s="733"/>
      <c r="Q34" s="733"/>
      <c r="R34" s="733"/>
      <c r="S34" s="733"/>
      <c r="T34" s="733"/>
      <c r="U34" s="733"/>
      <c r="V34" s="733"/>
      <c r="W34" s="733"/>
    </row>
    <row r="35" spans="1:23" customFormat="1" ht="17.100000000000001" customHeight="1">
      <c r="A35" s="113"/>
      <c r="B35" s="865" t="s">
        <v>70</v>
      </c>
      <c r="C35" s="866"/>
      <c r="D35" s="874" t="s">
        <v>71</v>
      </c>
      <c r="E35" s="874"/>
      <c r="F35" s="401">
        <v>1</v>
      </c>
      <c r="G35" s="205" t="s">
        <v>72</v>
      </c>
      <c r="H35" s="106"/>
      <c r="I35" s="98"/>
      <c r="J35" s="192"/>
      <c r="K35" s="119"/>
      <c r="L35" s="114" t="s">
        <v>71</v>
      </c>
      <c r="M35" s="114" t="s">
        <v>73</v>
      </c>
      <c r="N35" s="114" t="s">
        <v>74</v>
      </c>
      <c r="O35" s="114" t="s">
        <v>75</v>
      </c>
      <c r="P35" s="733"/>
      <c r="Q35" s="733"/>
      <c r="R35" s="733"/>
      <c r="S35" s="733"/>
      <c r="T35" s="733"/>
      <c r="U35" s="733"/>
      <c r="V35" s="733"/>
      <c r="W35" s="733"/>
    </row>
    <row r="36" spans="1:23" customFormat="1" ht="17.100000000000001" customHeight="1">
      <c r="A36" s="113"/>
      <c r="B36" s="867" t="s">
        <v>76</v>
      </c>
      <c r="C36" s="868"/>
      <c r="D36" s="874" t="s">
        <v>71</v>
      </c>
      <c r="E36" s="874"/>
      <c r="F36" s="104"/>
      <c r="G36" s="104"/>
      <c r="H36" s="206"/>
      <c r="I36" s="98"/>
      <c r="J36" s="98"/>
      <c r="K36" s="119"/>
      <c r="L36" s="114" t="s">
        <v>71</v>
      </c>
      <c r="M36" s="114" t="s">
        <v>77</v>
      </c>
      <c r="N36" s="114" t="s">
        <v>78</v>
      </c>
      <c r="O36" s="114"/>
      <c r="P36" s="733"/>
      <c r="Q36" s="733"/>
      <c r="R36" s="733"/>
      <c r="S36" s="733"/>
      <c r="T36" s="733"/>
      <c r="U36" s="733"/>
      <c r="V36" s="733"/>
      <c r="W36" s="733"/>
    </row>
    <row r="37" spans="1:23" customFormat="1" ht="17.100000000000001" customHeight="1">
      <c r="A37" s="113"/>
      <c r="B37" s="863" t="s">
        <v>79</v>
      </c>
      <c r="C37" s="864"/>
      <c r="D37" s="875" t="s">
        <v>305</v>
      </c>
      <c r="E37" s="875"/>
      <c r="F37" s="337">
        <v>1</v>
      </c>
      <c r="G37" s="205" t="s">
        <v>306</v>
      </c>
      <c r="H37" s="98"/>
      <c r="I37" s="98"/>
      <c r="J37" s="98"/>
      <c r="K37" s="119"/>
      <c r="L37" s="114" t="s">
        <v>305</v>
      </c>
      <c r="M37" s="114" t="s">
        <v>82</v>
      </c>
      <c r="N37" s="114" t="s">
        <v>83</v>
      </c>
      <c r="O37" s="114"/>
      <c r="P37" s="733"/>
      <c r="Q37" s="733"/>
      <c r="R37" s="733"/>
      <c r="S37" s="733"/>
      <c r="T37" s="733"/>
      <c r="U37" s="733"/>
      <c r="V37" s="733"/>
      <c r="W37" s="733"/>
    </row>
    <row r="38" spans="1:23" ht="17.100000000000001" customHeight="1">
      <c r="A38" s="445"/>
      <c r="C38" s="441"/>
      <c r="D38" s="441"/>
      <c r="E38" s="441"/>
      <c r="F38" s="441"/>
      <c r="G38" s="441"/>
      <c r="H38" s="441"/>
      <c r="I38" s="443" t="s">
        <v>307</v>
      </c>
      <c r="J38" s="443" t="s">
        <v>46</v>
      </c>
      <c r="K38" s="468"/>
    </row>
    <row r="39" spans="1:23">
      <c r="A39" s="445"/>
      <c r="B39" s="484" t="s">
        <v>84</v>
      </c>
      <c r="C39" s="484"/>
      <c r="D39" s="484"/>
      <c r="E39" s="451"/>
      <c r="F39" s="441"/>
      <c r="G39" s="441"/>
      <c r="H39" s="441"/>
      <c r="I39" s="441"/>
      <c r="J39" s="441"/>
      <c r="K39" s="468"/>
      <c r="L39" s="829"/>
      <c r="M39" s="829"/>
      <c r="N39" s="829"/>
      <c r="O39" s="829"/>
      <c r="P39" s="814"/>
    </row>
    <row r="40" spans="1:23">
      <c r="A40" s="445"/>
      <c r="B40" s="124" t="s">
        <v>85</v>
      </c>
      <c r="D40" s="490">
        <v>0.95</v>
      </c>
      <c r="E40" s="479" t="s">
        <v>86</v>
      </c>
      <c r="F40" s="441"/>
      <c r="G40" s="441"/>
      <c r="H40" s="441"/>
      <c r="I40" s="441"/>
      <c r="J40" s="441"/>
      <c r="K40" s="468"/>
    </row>
    <row r="41" spans="1:23">
      <c r="A41" s="445"/>
      <c r="B41" s="487" t="s">
        <v>87</v>
      </c>
      <c r="C41" s="798"/>
      <c r="D41" s="490">
        <v>0.02</v>
      </c>
      <c r="E41" s="479" t="s">
        <v>88</v>
      </c>
      <c r="F41" s="441"/>
      <c r="G41" s="441"/>
      <c r="H41" s="441"/>
      <c r="I41" s="441"/>
      <c r="J41" s="441"/>
      <c r="K41" s="468"/>
    </row>
    <row r="42" spans="1:23">
      <c r="A42" s="445"/>
      <c r="B42" s="487"/>
      <c r="C42" s="491"/>
      <c r="D42" s="441"/>
      <c r="E42" s="492"/>
      <c r="F42" s="479"/>
      <c r="G42" s="441"/>
      <c r="H42" s="441"/>
      <c r="I42" s="441"/>
      <c r="J42" s="441"/>
      <c r="K42" s="468"/>
    </row>
    <row r="43" spans="1:23">
      <c r="A43" s="445"/>
      <c r="B43" s="484" t="s">
        <v>308</v>
      </c>
      <c r="C43" s="493"/>
      <c r="D43" s="470"/>
      <c r="E43" s="451"/>
      <c r="F43" s="479"/>
      <c r="G43" s="441"/>
      <c r="H43" s="441"/>
      <c r="I43" s="441"/>
      <c r="J43" s="441"/>
      <c r="K43" s="468"/>
    </row>
    <row r="44" spans="1:23">
      <c r="A44" s="445"/>
      <c r="B44" s="483" t="s">
        <v>309</v>
      </c>
      <c r="C44" s="491"/>
      <c r="D44" s="441"/>
      <c r="E44" s="441"/>
      <c r="F44" s="441"/>
      <c r="G44" s="468"/>
      <c r="H44" s="441"/>
      <c r="I44" s="441"/>
      <c r="J44" s="441"/>
      <c r="K44" s="468"/>
    </row>
    <row r="45" spans="1:23" ht="45" customHeight="1">
      <c r="A45" s="445"/>
      <c r="B45" s="441"/>
      <c r="C45" s="207" t="s">
        <v>91</v>
      </c>
      <c r="D45" s="800" t="s">
        <v>92</v>
      </c>
      <c r="E45" s="441"/>
      <c r="F45" s="441"/>
      <c r="G45" s="441"/>
      <c r="H45" s="441"/>
      <c r="I45" s="441"/>
      <c r="J45" s="441"/>
      <c r="K45" s="468"/>
    </row>
    <row r="46" spans="1:23">
      <c r="A46" s="445"/>
      <c r="B46" s="494" t="str">
        <f t="shared" ref="B46:B51" si="0">C11</f>
        <v>Infantes</v>
      </c>
      <c r="C46" s="486">
        <v>1</v>
      </c>
      <c r="D46" s="495">
        <f t="shared" ref="D46:D52" si="1">B11-C46</f>
        <v>0</v>
      </c>
      <c r="E46" s="768"/>
      <c r="F46" s="769"/>
      <c r="G46" s="770" t="str">
        <f>C7</f>
        <v>Urbano</v>
      </c>
      <c r="H46" s="441"/>
      <c r="I46" s="441"/>
      <c r="J46" s="441"/>
      <c r="K46" s="468"/>
      <c r="L46" s="443" t="s">
        <v>1</v>
      </c>
      <c r="M46" s="443" t="s">
        <v>93</v>
      </c>
      <c r="N46" s="443" t="s">
        <v>94</v>
      </c>
      <c r="O46" s="443" t="s">
        <v>95</v>
      </c>
    </row>
    <row r="47" spans="1:23">
      <c r="A47" s="445"/>
      <c r="B47" s="494" t="str">
        <f t="shared" si="0"/>
        <v>Niños pequeños</v>
      </c>
      <c r="C47" s="486">
        <v>1</v>
      </c>
      <c r="D47" s="495">
        <f t="shared" si="1"/>
        <v>0</v>
      </c>
      <c r="E47" s="771"/>
      <c r="F47" s="771"/>
      <c r="G47" s="441"/>
      <c r="H47" s="441"/>
      <c r="I47" s="441"/>
      <c r="J47" s="441"/>
      <c r="K47" s="468"/>
    </row>
    <row r="48" spans="1:23">
      <c r="A48" s="445"/>
      <c r="B48" s="494" t="str">
        <f t="shared" si="0"/>
        <v>2 años de edad</v>
      </c>
      <c r="C48" s="486">
        <v>1</v>
      </c>
      <c r="D48" s="495">
        <f t="shared" si="1"/>
        <v>0</v>
      </c>
      <c r="E48" s="771"/>
      <c r="F48" s="771"/>
      <c r="G48" s="772"/>
      <c r="H48" s="441"/>
      <c r="I48" s="441"/>
      <c r="J48" s="441"/>
      <c r="K48" s="468"/>
    </row>
    <row r="49" spans="1:17">
      <c r="A49" s="445"/>
      <c r="B49" s="494" t="str">
        <f t="shared" si="0"/>
        <v>3 años de edad</v>
      </c>
      <c r="C49" s="486">
        <v>1</v>
      </c>
      <c r="D49" s="495">
        <f t="shared" si="1"/>
        <v>0</v>
      </c>
      <c r="E49" s="441"/>
      <c r="F49" s="441"/>
      <c r="G49" s="441"/>
      <c r="H49" s="441"/>
      <c r="I49" s="441"/>
      <c r="J49" s="441"/>
      <c r="K49" s="468"/>
    </row>
    <row r="50" spans="1:17" ht="14.1" thickBot="1">
      <c r="A50" s="445"/>
      <c r="B50" s="494" t="str">
        <f t="shared" si="0"/>
        <v>4-5 años de edad</v>
      </c>
      <c r="C50" s="496">
        <v>0</v>
      </c>
      <c r="D50" s="495">
        <f t="shared" si="1"/>
        <v>0</v>
      </c>
      <c r="E50" s="441"/>
      <c r="F50" s="441"/>
      <c r="G50" s="441"/>
      <c r="H50" s="441"/>
      <c r="I50" s="441"/>
      <c r="J50" s="441"/>
      <c r="K50" s="468"/>
    </row>
    <row r="51" spans="1:17">
      <c r="A51" s="445"/>
      <c r="B51" s="494" t="str">
        <f t="shared" si="0"/>
        <v>Edad escolar</v>
      </c>
      <c r="C51" s="496">
        <v>0</v>
      </c>
      <c r="D51" s="495">
        <f t="shared" si="1"/>
        <v>0</v>
      </c>
      <c r="E51" s="441"/>
      <c r="F51" s="441"/>
      <c r="G51" s="441"/>
      <c r="H51" s="812" t="s">
        <v>96</v>
      </c>
      <c r="I51" s="112"/>
      <c r="J51" s="441"/>
      <c r="K51" s="468"/>
    </row>
    <row r="52" spans="1:17">
      <c r="A52" s="445"/>
      <c r="B52" s="497" t="s">
        <v>97</v>
      </c>
      <c r="C52" s="498">
        <f>SUM(C46:C51)</f>
        <v>4</v>
      </c>
      <c r="D52" s="495">
        <f t="shared" si="1"/>
        <v>0</v>
      </c>
      <c r="E52" s="441"/>
      <c r="F52" s="441"/>
      <c r="G52" s="441"/>
      <c r="H52" s="720"/>
      <c r="I52" s="719" t="s">
        <v>98</v>
      </c>
      <c r="J52" s="441"/>
      <c r="K52" s="468"/>
    </row>
    <row r="53" spans="1:17">
      <c r="A53" s="445"/>
      <c r="B53" s="499" t="s">
        <v>310</v>
      </c>
      <c r="C53" s="265">
        <f>C52/$B17</f>
        <v>1</v>
      </c>
      <c r="D53" s="758">
        <f>D52/$B17</f>
        <v>0</v>
      </c>
      <c r="E53" s="773"/>
      <c r="F53" s="773"/>
      <c r="G53" s="773"/>
      <c r="H53" s="722" t="s">
        <v>311</v>
      </c>
      <c r="I53" s="727">
        <v>1500</v>
      </c>
      <c r="J53" s="441"/>
      <c r="K53" s="468"/>
      <c r="P53" s="752"/>
      <c r="Q53" s="753"/>
    </row>
    <row r="54" spans="1:17" ht="15.95" customHeight="1">
      <c r="A54" s="445"/>
      <c r="B54" s="479"/>
      <c r="C54" s="500"/>
      <c r="D54" s="501"/>
      <c r="E54" s="441"/>
      <c r="F54" s="441"/>
      <c r="G54" s="441"/>
      <c r="H54" s="722" t="s">
        <v>312</v>
      </c>
      <c r="I54" s="728">
        <v>1400</v>
      </c>
      <c r="J54" s="441"/>
      <c r="K54" s="468"/>
      <c r="N54" s="830"/>
      <c r="O54" s="831"/>
    </row>
    <row r="55" spans="1:17" ht="15.95" customHeight="1">
      <c r="A55" s="445"/>
      <c r="B55" s="446" t="s">
        <v>102</v>
      </c>
      <c r="C55" s="502">
        <v>25000</v>
      </c>
      <c r="D55" s="483" t="s">
        <v>103</v>
      </c>
      <c r="F55" s="441"/>
      <c r="G55" s="441"/>
      <c r="H55" s="722" t="s">
        <v>104</v>
      </c>
      <c r="I55" s="728">
        <v>1400</v>
      </c>
      <c r="J55" s="441"/>
      <c r="K55" s="468"/>
      <c r="N55" s="830"/>
      <c r="O55" s="831"/>
    </row>
    <row r="56" spans="1:17" ht="15.95" customHeight="1">
      <c r="A56" s="445"/>
      <c r="B56" s="446"/>
      <c r="C56" s="483"/>
      <c r="D56" s="483"/>
      <c r="E56" s="441"/>
      <c r="F56" s="441"/>
      <c r="G56" s="441"/>
      <c r="H56" s="722" t="s">
        <v>105</v>
      </c>
      <c r="I56" s="728">
        <v>1300</v>
      </c>
      <c r="J56" s="441"/>
      <c r="K56" s="468"/>
      <c r="N56" s="830"/>
      <c r="O56" s="831"/>
    </row>
    <row r="57" spans="1:17" ht="15.95" customHeight="1">
      <c r="A57" s="445"/>
      <c r="B57" s="801" t="s">
        <v>313</v>
      </c>
      <c r="C57" s="452" t="s">
        <v>93</v>
      </c>
      <c r="D57" s="431"/>
      <c r="E57" s="441"/>
      <c r="F57" s="441"/>
      <c r="G57" s="441"/>
      <c r="H57" s="722" t="s">
        <v>107</v>
      </c>
      <c r="I57" s="728">
        <v>1200</v>
      </c>
      <c r="J57" s="441"/>
      <c r="K57" s="468"/>
      <c r="N57" s="830"/>
      <c r="O57" s="831"/>
    </row>
    <row r="58" spans="1:17" ht="15.95" customHeight="1" thickBot="1">
      <c r="A58" s="445"/>
      <c r="B58" s="802" t="s">
        <v>314</v>
      </c>
      <c r="C58" s="97" t="s">
        <v>110</v>
      </c>
      <c r="D58"/>
      <c r="E58" s="804" t="s">
        <v>315</v>
      </c>
      <c r="F58" s="98"/>
      <c r="G58"/>
      <c r="H58" s="723" t="s">
        <v>73</v>
      </c>
      <c r="I58" s="729">
        <v>800</v>
      </c>
      <c r="J58" s="441"/>
      <c r="K58" s="468"/>
      <c r="N58" s="830"/>
      <c r="O58" s="831"/>
    </row>
    <row r="59" spans="1:17" ht="15.95" customHeight="1" thickBot="1">
      <c r="A59" s="785"/>
      <c r="B59" s="786"/>
      <c r="C59" s="787"/>
      <c r="D59" s="788" t="s">
        <v>110</v>
      </c>
      <c r="E59" s="788" t="s">
        <v>316</v>
      </c>
      <c r="F59" s="788" t="s">
        <v>111</v>
      </c>
      <c r="G59" s="788" t="s">
        <v>317</v>
      </c>
      <c r="H59" s="122"/>
      <c r="I59" s="122"/>
      <c r="J59" s="538"/>
      <c r="K59" s="750"/>
      <c r="N59" s="830"/>
      <c r="O59" s="831"/>
    </row>
    <row r="60" spans="1:17" ht="21.95" customHeight="1">
      <c r="A60" s="789"/>
      <c r="B60" s="793" t="s">
        <v>112</v>
      </c>
      <c r="C60" s="790"/>
      <c r="D60" s="791"/>
      <c r="E60" s="790"/>
      <c r="F60" s="790"/>
      <c r="G60" s="790"/>
      <c r="H60" s="790"/>
      <c r="I60" s="790"/>
      <c r="J60" s="790"/>
      <c r="K60" s="792"/>
      <c r="N60" s="830"/>
      <c r="O60" s="831"/>
    </row>
    <row r="61" spans="1:17" ht="14.1" thickBot="1">
      <c r="A61" s="445"/>
      <c r="B61" s="479"/>
      <c r="C61" s="500"/>
      <c r="D61" s="107"/>
      <c r="E61" s="441"/>
      <c r="F61" s="441"/>
      <c r="G61" s="441"/>
      <c r="H61" s="441"/>
      <c r="I61" s="441"/>
      <c r="J61" s="441"/>
      <c r="K61" s="468"/>
      <c r="N61" s="830"/>
      <c r="O61" s="831"/>
    </row>
    <row r="62" spans="1:17" ht="15.95" customHeight="1">
      <c r="A62" s="445"/>
      <c r="B62" s="504" t="s">
        <v>113</v>
      </c>
      <c r="C62" s="505"/>
      <c r="D62" s="441"/>
      <c r="E62" s="805" t="s">
        <v>318</v>
      </c>
      <c r="F62" s="506"/>
      <c r="G62" s="507" t="s">
        <v>115</v>
      </c>
      <c r="H62" s="507" t="s">
        <v>116</v>
      </c>
      <c r="I62" s="508" t="s">
        <v>117</v>
      </c>
      <c r="J62" s="441"/>
      <c r="K62" s="468"/>
      <c r="L62" s="442"/>
      <c r="M62" s="442"/>
      <c r="N62" s="442"/>
      <c r="O62" s="442"/>
      <c r="P62" s="197"/>
      <c r="Q62" s="197"/>
    </row>
    <row r="63" spans="1:17" ht="14.1">
      <c r="A63" s="445"/>
      <c r="B63" s="509"/>
      <c r="C63" s="510"/>
      <c r="D63" s="441"/>
      <c r="E63" s="511"/>
      <c r="F63" s="682" t="str">
        <f>'Quality Home Profile'!B7</f>
        <v>Infantes</v>
      </c>
      <c r="G63" s="683">
        <f>'Quality Home Profile'!C7</f>
        <v>24230.41758984375</v>
      </c>
      <c r="H63" s="683">
        <f>G63/12</f>
        <v>2019.2014658203125</v>
      </c>
      <c r="I63" s="512">
        <f>G63/52</f>
        <v>465.96956903545674</v>
      </c>
      <c r="J63" s="441"/>
      <c r="K63" s="468"/>
      <c r="L63" s="442"/>
      <c r="M63" s="442"/>
      <c r="N63" s="442"/>
      <c r="O63" s="442"/>
      <c r="P63" s="197"/>
      <c r="Q63" s="197"/>
    </row>
    <row r="64" spans="1:17" ht="14.1">
      <c r="A64" s="445"/>
      <c r="B64" s="513" t="s">
        <v>118</v>
      </c>
      <c r="C64" s="514">
        <f>'Quality Home Profile'!A21</f>
        <v>1</v>
      </c>
      <c r="D64" s="441"/>
      <c r="E64" s="511"/>
      <c r="F64" s="682" t="str">
        <f>'Quality Home Profile'!B8</f>
        <v>Niños pequeños</v>
      </c>
      <c r="G64" s="683">
        <f>'Quality Home Profile'!C8</f>
        <v>24230.41758984375</v>
      </c>
      <c r="H64" s="683">
        <f t="shared" ref="H64:H68" si="2">G64/12</f>
        <v>2019.2014658203125</v>
      </c>
      <c r="I64" s="512">
        <f t="shared" ref="I64:I68" si="3">G64/52</f>
        <v>465.96956903545674</v>
      </c>
      <c r="J64" s="441"/>
      <c r="K64" s="468"/>
      <c r="L64" s="442"/>
      <c r="M64" s="442"/>
      <c r="N64" s="442"/>
      <c r="O64" s="442"/>
      <c r="P64" s="197"/>
      <c r="Q64" s="197"/>
    </row>
    <row r="65" spans="1:17" ht="14.1">
      <c r="A65" s="445"/>
      <c r="B65" s="509"/>
      <c r="C65" s="510"/>
      <c r="D65" s="441"/>
      <c r="E65" s="511"/>
      <c r="F65" s="682" t="str">
        <f>'Quality Home Profile'!B9</f>
        <v>2 años de edad</v>
      </c>
      <c r="G65" s="683">
        <f>'Quality Home Profile'!C9</f>
        <v>24230.41758984375</v>
      </c>
      <c r="H65" s="683">
        <f t="shared" si="2"/>
        <v>2019.2014658203125</v>
      </c>
      <c r="I65" s="512">
        <f t="shared" si="3"/>
        <v>465.96956903545674</v>
      </c>
      <c r="J65" s="441"/>
      <c r="K65" s="468"/>
      <c r="L65" s="442"/>
      <c r="M65" s="442"/>
      <c r="N65" s="442"/>
      <c r="O65" s="442"/>
      <c r="P65" s="197"/>
      <c r="Q65" s="197"/>
    </row>
    <row r="66" spans="1:17" ht="14.1">
      <c r="A66" s="445"/>
      <c r="B66" s="515" t="s">
        <v>120</v>
      </c>
      <c r="C66" s="510"/>
      <c r="D66" s="441"/>
      <c r="E66" s="511"/>
      <c r="F66" s="682" t="str">
        <f>'Quality Home Profile'!B10</f>
        <v>3 años de edad</v>
      </c>
      <c r="G66" s="683">
        <f>'Quality Home Profile'!C10</f>
        <v>24230.41758984375</v>
      </c>
      <c r="H66" s="683">
        <f t="shared" si="2"/>
        <v>2019.2014658203125</v>
      </c>
      <c r="I66" s="512">
        <f t="shared" si="3"/>
        <v>465.96956903545674</v>
      </c>
      <c r="J66" s="441"/>
      <c r="K66" s="468"/>
      <c r="L66" s="442"/>
      <c r="M66" s="442"/>
      <c r="N66" s="442"/>
      <c r="O66" s="442"/>
      <c r="P66" s="197"/>
      <c r="Q66" s="197"/>
    </row>
    <row r="67" spans="1:17" ht="14.1">
      <c r="A67" s="445"/>
      <c r="B67" s="516" t="s">
        <v>121</v>
      </c>
      <c r="C67" s="240">
        <f>'Quality Home Profile'!D32</f>
        <v>68339.375</v>
      </c>
      <c r="D67" s="441"/>
      <c r="E67" s="511"/>
      <c r="F67" s="682" t="str">
        <f>'Quality Home Profile'!B11</f>
        <v>4-5 años de edad</v>
      </c>
      <c r="G67" s="683">
        <f>'Quality Home Profile'!C11</f>
        <v>0</v>
      </c>
      <c r="H67" s="683">
        <f t="shared" si="2"/>
        <v>0</v>
      </c>
      <c r="I67" s="512">
        <f t="shared" si="3"/>
        <v>0</v>
      </c>
      <c r="J67" s="441"/>
      <c r="K67" s="468"/>
      <c r="L67" s="442"/>
      <c r="M67" s="442"/>
      <c r="N67" s="442"/>
      <c r="O67" s="442"/>
      <c r="P67" s="197"/>
      <c r="Q67" s="197"/>
    </row>
    <row r="68" spans="1:17" ht="14.1" customHeight="1" thickBot="1">
      <c r="A68" s="445"/>
      <c r="B68" s="516" t="s">
        <v>41</v>
      </c>
      <c r="C68" s="240">
        <f>SUM('Quality Home Profile'!D39,'Quality Home Profile'!D44)</f>
        <v>7278.1434375000008</v>
      </c>
      <c r="D68" s="441"/>
      <c r="E68" s="684"/>
      <c r="F68" s="685" t="str">
        <f>'Quality Home Profile'!B12</f>
        <v>Edad escolar</v>
      </c>
      <c r="G68" s="686">
        <f>'Quality Home Profile'!C12</f>
        <v>0</v>
      </c>
      <c r="H68" s="686">
        <f t="shared" si="2"/>
        <v>0</v>
      </c>
      <c r="I68" s="687">
        <f t="shared" si="3"/>
        <v>0</v>
      </c>
      <c r="J68" s="441"/>
      <c r="K68" s="468"/>
      <c r="L68" s="442"/>
      <c r="M68" s="442"/>
      <c r="N68" s="442"/>
      <c r="O68" s="442"/>
      <c r="P68" s="197"/>
      <c r="Q68" s="197"/>
    </row>
    <row r="69" spans="1:17" ht="14.1">
      <c r="A69" s="445"/>
      <c r="B69" s="513" t="s">
        <v>118</v>
      </c>
      <c r="C69" s="242">
        <f>SUM(C67:C68)</f>
        <v>75617.518437499995</v>
      </c>
      <c r="D69" s="441"/>
      <c r="E69" s="441"/>
      <c r="F69" s="441"/>
      <c r="G69" s="441"/>
      <c r="H69" s="441"/>
      <c r="I69" s="441"/>
      <c r="J69" s="441"/>
      <c r="K69" s="468"/>
      <c r="L69" s="442"/>
      <c r="M69" s="442"/>
      <c r="N69" s="442"/>
      <c r="O69" s="442"/>
      <c r="P69" s="197"/>
      <c r="Q69" s="197"/>
    </row>
    <row r="70" spans="1:17" ht="15" thickBot="1">
      <c r="A70" s="445"/>
      <c r="B70" s="516" t="s">
        <v>122</v>
      </c>
      <c r="C70" s="243">
        <f>QualityVarCostFCC</f>
        <v>0</v>
      </c>
      <c r="D70" s="441"/>
      <c r="E70" s="441"/>
      <c r="F70" s="441"/>
      <c r="G70" s="441"/>
      <c r="H70" s="441"/>
      <c r="I70" s="441"/>
      <c r="J70" s="441"/>
      <c r="K70" s="468"/>
      <c r="L70" s="442"/>
      <c r="M70" s="442"/>
      <c r="N70" s="832"/>
      <c r="O70" s="832"/>
      <c r="P70" s="197"/>
      <c r="Q70" s="197"/>
    </row>
    <row r="71" spans="1:17" ht="14.1">
      <c r="A71" s="445"/>
      <c r="B71" s="516" t="s">
        <v>319</v>
      </c>
      <c r="C71" s="243">
        <f>'Quality Home Profile'!D59</f>
        <v>5336.3279999999995</v>
      </c>
      <c r="D71" s="441"/>
      <c r="E71" s="441"/>
      <c r="F71" s="517" t="s">
        <v>124</v>
      </c>
      <c r="G71" s="518"/>
      <c r="H71" s="519" t="s">
        <v>125</v>
      </c>
      <c r="I71" s="806" t="s">
        <v>126</v>
      </c>
      <c r="J71" s="441"/>
      <c r="K71" s="468"/>
      <c r="L71" s="442"/>
      <c r="M71" s="442"/>
      <c r="N71" s="832"/>
      <c r="O71" s="832"/>
      <c r="P71" s="197"/>
      <c r="Q71" s="197"/>
    </row>
    <row r="72" spans="1:17" ht="14.1">
      <c r="A72" s="445"/>
      <c r="B72" s="516" t="s">
        <v>320</v>
      </c>
      <c r="C72" s="243">
        <f>'Quality Home Profile'!D60</f>
        <v>8001.4480000000003</v>
      </c>
      <c r="D72" s="441"/>
      <c r="E72" s="441"/>
      <c r="F72" s="520"/>
      <c r="G72" s="521" t="str">
        <f t="shared" ref="G72:G77" si="4">F63</f>
        <v>Infantes</v>
      </c>
      <c r="H72" s="522">
        <f>'Quality Home Profile'!F81</f>
        <v>808.16666666666663</v>
      </c>
      <c r="I72" s="688">
        <f t="shared" ref="I72:I77" si="5">IF(H63&gt;0,H72-H63,"N/A")</f>
        <v>-1211.034799153646</v>
      </c>
      <c r="J72" s="441"/>
      <c r="K72" s="468"/>
      <c r="L72" s="442"/>
      <c r="M72" s="442"/>
      <c r="N72" s="832"/>
      <c r="O72" s="832"/>
      <c r="P72" s="197"/>
      <c r="Q72" s="197"/>
    </row>
    <row r="73" spans="1:17" ht="14.1">
      <c r="A73" s="445"/>
      <c r="B73" s="516" t="s">
        <v>127</v>
      </c>
      <c r="C73" s="243">
        <f>'Quality Home Profile'!D61</f>
        <v>3351.0582857142854</v>
      </c>
      <c r="D73" s="441"/>
      <c r="E73" s="441"/>
      <c r="F73" s="690" t="s">
        <v>129</v>
      </c>
      <c r="G73" s="521" t="str">
        <f t="shared" si="4"/>
        <v>Niños pequeños</v>
      </c>
      <c r="H73" s="522">
        <f>'Quality Home Profile'!F82</f>
        <v>796.25</v>
      </c>
      <c r="I73" s="688">
        <f t="shared" si="5"/>
        <v>-1222.9514658203125</v>
      </c>
      <c r="J73" s="441"/>
      <c r="K73" s="468"/>
      <c r="L73" s="442"/>
      <c r="M73" s="442"/>
      <c r="N73" s="832"/>
      <c r="O73" s="832"/>
      <c r="P73" s="197"/>
      <c r="Q73" s="197"/>
    </row>
    <row r="74" spans="1:17" ht="14.1">
      <c r="A74" s="445"/>
      <c r="B74" s="516" t="s">
        <v>130</v>
      </c>
      <c r="C74" s="243">
        <f>Reserve_Fund_FCC</f>
        <v>4615.3176361607138</v>
      </c>
      <c r="D74" s="441"/>
      <c r="E74" s="441"/>
      <c r="F74" s="523" t="str">
        <f>C7</f>
        <v>Urbano</v>
      </c>
      <c r="G74" s="521" t="str">
        <f t="shared" si="4"/>
        <v>2 años de edad</v>
      </c>
      <c r="H74" s="522">
        <f>'Quality Home Profile'!F83</f>
        <v>796.25</v>
      </c>
      <c r="I74" s="688">
        <f t="shared" si="5"/>
        <v>-1222.9514658203125</v>
      </c>
      <c r="J74" s="441"/>
      <c r="K74" s="468"/>
      <c r="L74" s="442"/>
      <c r="M74" s="442"/>
      <c r="N74" s="442"/>
      <c r="O74" s="442"/>
      <c r="P74" s="197"/>
      <c r="Q74" s="197"/>
    </row>
    <row r="75" spans="1:17" ht="14.1" customHeight="1">
      <c r="A75" s="445"/>
      <c r="B75" s="513" t="s">
        <v>321</v>
      </c>
      <c r="C75" s="242">
        <f>SUM(C70:C74)</f>
        <v>21304.151921875</v>
      </c>
      <c r="D75" s="441"/>
      <c r="E75" s="441"/>
      <c r="F75" s="690" t="s">
        <v>322</v>
      </c>
      <c r="G75" s="521" t="str">
        <f t="shared" si="4"/>
        <v>3 años de edad</v>
      </c>
      <c r="H75" s="522">
        <f>'Quality Home Profile'!F84</f>
        <v>796.25</v>
      </c>
      <c r="I75" s="688">
        <f t="shared" si="5"/>
        <v>-1222.9514658203125</v>
      </c>
      <c r="J75" s="441"/>
      <c r="K75" s="468"/>
      <c r="L75" s="442"/>
      <c r="M75" s="442"/>
      <c r="N75" s="442"/>
      <c r="O75" s="442"/>
      <c r="P75" s="197"/>
      <c r="Q75" s="197"/>
    </row>
    <row r="76" spans="1:17" ht="14.1">
      <c r="A76" s="445"/>
      <c r="B76" s="528" t="s">
        <v>323</v>
      </c>
      <c r="C76" s="245">
        <f>SUM(C69,C75)</f>
        <v>96921.670359374999</v>
      </c>
      <c r="D76" s="441"/>
      <c r="E76" s="441"/>
      <c r="F76" s="523" t="str">
        <f>C57</f>
        <v>Acc/Step 3</v>
      </c>
      <c r="G76" s="521" t="str">
        <f t="shared" si="4"/>
        <v>4-5 años de edad</v>
      </c>
      <c r="H76" s="522">
        <f>'Quality Home Profile'!F85</f>
        <v>796.25</v>
      </c>
      <c r="I76" s="688" t="str">
        <f t="shared" si="5"/>
        <v>N/A</v>
      </c>
      <c r="J76" s="441"/>
      <c r="K76" s="468"/>
      <c r="L76" s="442"/>
      <c r="M76" s="442"/>
      <c r="N76" s="442"/>
      <c r="O76" s="442"/>
      <c r="P76" s="197"/>
      <c r="Q76" s="197"/>
    </row>
    <row r="77" spans="1:17" ht="15" thickBot="1">
      <c r="A77" s="445"/>
      <c r="B77" s="509"/>
      <c r="C77" s="510"/>
      <c r="D77" s="441"/>
      <c r="E77" s="441"/>
      <c r="F77" s="525"/>
      <c r="G77" s="526" t="str">
        <f t="shared" si="4"/>
        <v>Edad escolar</v>
      </c>
      <c r="H77" s="527">
        <f>'Quality Home Profile'!F86</f>
        <v>270.27</v>
      </c>
      <c r="I77" s="689" t="str">
        <f t="shared" si="5"/>
        <v>N/A</v>
      </c>
      <c r="J77" s="441"/>
      <c r="K77" s="468"/>
      <c r="L77" s="442"/>
      <c r="M77" s="442"/>
      <c r="N77" s="442"/>
      <c r="O77" s="442"/>
      <c r="P77" s="197"/>
      <c r="Q77" s="197"/>
    </row>
    <row r="78" spans="1:17" ht="15" customHeight="1">
      <c r="A78" s="445"/>
      <c r="B78" s="515" t="s">
        <v>134</v>
      </c>
      <c r="C78" s="510"/>
      <c r="D78" s="441"/>
      <c r="E78" s="441"/>
      <c r="F78" s="441"/>
      <c r="G78" s="441"/>
      <c r="H78" s="441"/>
      <c r="I78" s="441"/>
      <c r="J78" s="441"/>
      <c r="K78" s="468"/>
      <c r="L78" s="442"/>
      <c r="M78" s="442"/>
      <c r="N78" s="442"/>
      <c r="O78" s="442"/>
      <c r="P78" s="197"/>
      <c r="Q78" s="197"/>
    </row>
    <row r="79" spans="1:17" ht="15" thickBot="1">
      <c r="A79" s="441"/>
      <c r="B79" s="509" t="s">
        <v>135</v>
      </c>
      <c r="C79" s="240">
        <f>'Quality Home Profile'!D73</f>
        <v>4992</v>
      </c>
      <c r="D79" s="441"/>
      <c r="E79" s="441"/>
      <c r="F79" s="441"/>
      <c r="G79" s="441"/>
      <c r="H79" s="441"/>
      <c r="I79" s="441"/>
      <c r="J79" s="441"/>
      <c r="K79" s="468"/>
      <c r="L79" s="442"/>
      <c r="M79" s="442"/>
      <c r="N79" s="442"/>
      <c r="O79" s="442"/>
      <c r="P79" s="197"/>
      <c r="Q79" s="197"/>
    </row>
    <row r="80" spans="1:17" ht="14.1">
      <c r="A80" s="441"/>
      <c r="B80" s="509" t="s">
        <v>136</v>
      </c>
      <c r="C80" s="240">
        <f>SUM('Quality Home Profile'!D81:D86)</f>
        <v>38363</v>
      </c>
      <c r="D80" s="441"/>
      <c r="E80" s="441"/>
      <c r="F80" s="678" t="s">
        <v>324</v>
      </c>
      <c r="G80" s="679"/>
      <c r="H80" s="529" t="s">
        <v>98</v>
      </c>
      <c r="I80" s="807" t="s">
        <v>126</v>
      </c>
      <c r="J80" s="441"/>
      <c r="K80" s="468"/>
      <c r="L80" s="442"/>
      <c r="M80" s="442"/>
      <c r="N80" s="442"/>
      <c r="O80" s="442"/>
      <c r="P80" s="197"/>
      <c r="Q80" s="197"/>
    </row>
    <row r="81" spans="1:17" ht="14.1" customHeight="1">
      <c r="A81" s="445"/>
      <c r="B81" s="509" t="s">
        <v>137</v>
      </c>
      <c r="C81" s="240">
        <f>SUM('Quality Home Profile'!D74:D79)</f>
        <v>0</v>
      </c>
      <c r="D81" s="441"/>
      <c r="E81" s="441"/>
      <c r="F81" s="808" t="s">
        <v>140</v>
      </c>
      <c r="G81" s="530" t="str">
        <f t="shared" ref="G81:G86" si="6">G72</f>
        <v>Infantes</v>
      </c>
      <c r="H81" s="531">
        <f>'Quality Home Profile'!F74</f>
        <v>693.33333333333337</v>
      </c>
      <c r="I81" s="680">
        <f t="shared" ref="I81:I86" si="7">IF(H63&gt;0,H81-H63,"N/A")</f>
        <v>-1325.868132486979</v>
      </c>
      <c r="J81" s="441"/>
      <c r="K81" s="468"/>
      <c r="L81" s="442"/>
      <c r="M81" s="442"/>
      <c r="N81" s="442"/>
      <c r="O81" s="442"/>
      <c r="P81" s="197"/>
      <c r="Q81" s="197"/>
    </row>
    <row r="82" spans="1:17" ht="14.1" customHeight="1">
      <c r="A82" s="445"/>
      <c r="B82" s="509" t="s">
        <v>139</v>
      </c>
      <c r="C82" s="240">
        <f>'Quality Home Profile'!D87</f>
        <v>25000</v>
      </c>
      <c r="D82" s="441"/>
      <c r="E82" s="441"/>
      <c r="F82" s="532" t="str">
        <f>F74</f>
        <v>Urbano</v>
      </c>
      <c r="G82" s="530" t="str">
        <f t="shared" si="6"/>
        <v>Niños pequeños</v>
      </c>
      <c r="H82" s="531">
        <f>'Quality Home Profile'!F75</f>
        <v>671.66666666666663</v>
      </c>
      <c r="I82" s="680">
        <f t="shared" si="7"/>
        <v>-1347.534799153646</v>
      </c>
      <c r="J82" s="441"/>
      <c r="K82" s="468"/>
      <c r="L82" s="442"/>
      <c r="M82" s="442"/>
      <c r="N82" s="442"/>
      <c r="O82" s="442"/>
      <c r="P82" s="197"/>
      <c r="Q82" s="197"/>
    </row>
    <row r="83" spans="1:17" ht="14.1" customHeight="1">
      <c r="A83" s="445"/>
      <c r="B83" s="528" t="s">
        <v>325</v>
      </c>
      <c r="C83" s="534">
        <f>SUM(C79:C82)</f>
        <v>68355</v>
      </c>
      <c r="D83" s="441"/>
      <c r="E83" s="441"/>
      <c r="F83" s="430" t="s">
        <v>143</v>
      </c>
      <c r="G83" s="530" t="str">
        <f t="shared" si="6"/>
        <v>2 años de edad</v>
      </c>
      <c r="H83" s="531">
        <f>'Quality Home Profile'!F76</f>
        <v>671.66666666666663</v>
      </c>
      <c r="I83" s="680">
        <f t="shared" si="7"/>
        <v>-1347.534799153646</v>
      </c>
      <c r="J83" s="441"/>
      <c r="K83" s="468"/>
      <c r="L83" s="442"/>
      <c r="M83" s="442"/>
      <c r="N83" s="442"/>
      <c r="O83" s="442"/>
      <c r="P83" s="197"/>
      <c r="Q83" s="197"/>
    </row>
    <row r="84" spans="1:17" ht="14.1">
      <c r="A84" s="445"/>
      <c r="B84" s="881" t="s">
        <v>142</v>
      </c>
      <c r="C84" s="535"/>
      <c r="D84" s="441"/>
      <c r="E84" s="441"/>
      <c r="F84" s="532" t="str">
        <f>C58</f>
        <v xml:space="preserve">50th </v>
      </c>
      <c r="G84" s="530" t="str">
        <f t="shared" si="6"/>
        <v>3 años de edad</v>
      </c>
      <c r="H84" s="531">
        <f>'Quality Home Profile'!F77</f>
        <v>671.66666666666663</v>
      </c>
      <c r="I84" s="680">
        <f t="shared" si="7"/>
        <v>-1347.534799153646</v>
      </c>
      <c r="J84" s="441"/>
      <c r="K84" s="468"/>
      <c r="L84" s="442"/>
      <c r="M84" s="442"/>
      <c r="N84" s="442"/>
      <c r="O84" s="442"/>
      <c r="P84" s="197"/>
      <c r="Q84" s="197"/>
    </row>
    <row r="85" spans="1:17" ht="14.1">
      <c r="A85" s="445"/>
      <c r="B85" s="882"/>
      <c r="C85" s="536">
        <f>SUM('Quality Home Profile'!D91:D92)*-1</f>
        <v>-2991.4950000000017</v>
      </c>
      <c r="D85" s="441"/>
      <c r="E85" s="441"/>
      <c r="F85" s="691"/>
      <c r="G85" s="692" t="str">
        <f t="shared" si="6"/>
        <v>4-5 años de edad</v>
      </c>
      <c r="H85" s="531">
        <f>'Quality Home Profile'!F78</f>
        <v>671.66666666666663</v>
      </c>
      <c r="I85" s="680" t="str">
        <f t="shared" si="7"/>
        <v>N/A</v>
      </c>
      <c r="J85" s="441"/>
      <c r="K85" s="468"/>
      <c r="L85" s="442"/>
      <c r="M85" s="442"/>
      <c r="N85" s="442"/>
      <c r="O85" s="442"/>
      <c r="P85" s="197"/>
      <c r="Q85" s="197"/>
    </row>
    <row r="86" spans="1:17" ht="15" thickBot="1">
      <c r="A86" s="445"/>
      <c r="B86" s="509"/>
      <c r="C86" s="510"/>
      <c r="D86" s="441"/>
      <c r="E86" s="441"/>
      <c r="F86" s="693"/>
      <c r="G86" s="694" t="str">
        <f t="shared" si="6"/>
        <v>Edad escolar</v>
      </c>
      <c r="H86" s="533">
        <f>'Quality Home Profile'!F79</f>
        <v>234</v>
      </c>
      <c r="I86" s="681" t="str">
        <f t="shared" si="7"/>
        <v>N/A</v>
      </c>
      <c r="J86" s="441"/>
      <c r="K86" s="468"/>
      <c r="L86" s="442"/>
      <c r="M86" s="442"/>
      <c r="N86" s="442"/>
      <c r="O86" s="442"/>
      <c r="P86" s="197"/>
      <c r="Q86" s="197"/>
    </row>
    <row r="87" spans="1:17" ht="17.100000000000001" customHeight="1">
      <c r="A87" s="445"/>
      <c r="B87" s="883" t="s">
        <v>144</v>
      </c>
      <c r="C87" s="851">
        <f>'Quality Home Profile'!D94</f>
        <v>-31558.165359375009</v>
      </c>
      <c r="D87" s="441"/>
      <c r="E87" s="441"/>
      <c r="F87" s="441"/>
      <c r="G87" s="441"/>
      <c r="H87" s="441"/>
      <c r="I87" s="441"/>
      <c r="J87" s="441"/>
      <c r="K87" s="468"/>
      <c r="L87" s="442"/>
      <c r="M87" s="442"/>
      <c r="N87" s="442"/>
      <c r="O87" s="442"/>
      <c r="P87" s="197"/>
      <c r="Q87" s="197"/>
    </row>
    <row r="88" spans="1:17" ht="15.95" customHeight="1">
      <c r="A88" s="445"/>
      <c r="B88" s="884"/>
      <c r="C88" s="852"/>
      <c r="D88" s="441"/>
      <c r="E88" s="441"/>
      <c r="F88" s="441"/>
      <c r="G88" s="441"/>
      <c r="H88" s="441"/>
      <c r="I88" s="441"/>
      <c r="J88" s="441"/>
      <c r="K88" s="468"/>
      <c r="L88" s="442"/>
      <c r="M88" s="442"/>
      <c r="N88" s="442"/>
      <c r="O88" s="442"/>
      <c r="P88" s="197"/>
      <c r="Q88" s="197"/>
    </row>
    <row r="89" spans="1:17" ht="18.95" customHeight="1" thickBot="1">
      <c r="A89" s="445"/>
      <c r="B89" s="537" t="s">
        <v>145</v>
      </c>
      <c r="C89" s="248">
        <f>'Quality Home Profile'!E94</f>
        <v>-0.32560484401848183</v>
      </c>
      <c r="D89" s="441"/>
      <c r="E89" s="441"/>
      <c r="F89" s="441"/>
      <c r="G89" s="441"/>
      <c r="H89" s="441"/>
      <c r="I89" s="441"/>
      <c r="J89" s="441"/>
      <c r="K89" s="468"/>
      <c r="L89" s="442"/>
      <c r="M89" s="442"/>
      <c r="N89" s="442"/>
      <c r="O89" s="442"/>
      <c r="P89" s="197"/>
      <c r="Q89" s="197"/>
    </row>
    <row r="90" spans="1:17" ht="12.95" customHeight="1">
      <c r="A90" s="441"/>
      <c r="B90" s="441"/>
      <c r="C90" s="441"/>
      <c r="D90" s="441"/>
      <c r="E90" s="441"/>
      <c r="F90" s="441"/>
      <c r="G90" s="441"/>
      <c r="H90" s="441"/>
      <c r="I90" s="441"/>
      <c r="J90" s="441"/>
      <c r="K90" s="468"/>
      <c r="L90" s="442"/>
      <c r="M90" s="442"/>
      <c r="N90" s="442"/>
      <c r="O90" s="442"/>
      <c r="P90" s="197"/>
      <c r="Q90" s="197"/>
    </row>
    <row r="91" spans="1:17" ht="18.95" customHeight="1">
      <c r="A91" s="441"/>
      <c r="B91" s="441"/>
      <c r="C91" s="441"/>
      <c r="D91" s="441"/>
      <c r="E91" s="441"/>
      <c r="F91" s="441"/>
      <c r="G91" s="441"/>
      <c r="H91" s="441"/>
      <c r="I91" s="441"/>
      <c r="J91" s="441"/>
      <c r="K91" s="468"/>
      <c r="L91" s="442"/>
      <c r="M91" s="442"/>
      <c r="N91" s="442"/>
      <c r="O91" s="442"/>
      <c r="P91" s="197"/>
      <c r="Q91" s="197"/>
    </row>
    <row r="92" spans="1:17" ht="15" customHeight="1" thickBot="1">
      <c r="A92" s="538"/>
      <c r="B92" s="695" t="s">
        <v>146</v>
      </c>
      <c r="C92" s="538"/>
      <c r="D92" s="696"/>
      <c r="E92" s="538"/>
      <c r="F92" s="538"/>
      <c r="G92" s="538"/>
      <c r="H92" s="538"/>
      <c r="I92" s="538"/>
      <c r="J92" s="538"/>
      <c r="K92" s="750"/>
    </row>
    <row r="93" spans="1:17" ht="14.1" customHeight="1" thickBot="1">
      <c r="A93" s="441"/>
      <c r="B93" s="441"/>
      <c r="C93" s="441"/>
      <c r="D93" s="441"/>
      <c r="E93" s="441"/>
      <c r="F93" s="441"/>
      <c r="G93" s="441"/>
      <c r="H93" s="441"/>
      <c r="I93" s="441"/>
      <c r="J93" s="441"/>
      <c r="K93" s="441"/>
    </row>
    <row r="94" spans="1:17" ht="14.1">
      <c r="A94" s="746"/>
      <c r="B94" s="747" t="s">
        <v>147</v>
      </c>
      <c r="C94" s="747"/>
      <c r="D94" s="747"/>
      <c r="E94" s="747"/>
      <c r="F94" s="747"/>
      <c r="G94" s="747"/>
      <c r="H94" s="747"/>
      <c r="I94" s="747"/>
      <c r="J94" s="747"/>
      <c r="K94" s="747"/>
      <c r="L94" s="833"/>
      <c r="M94" s="833"/>
      <c r="N94" s="833"/>
      <c r="O94" s="833"/>
      <c r="P94" s="756"/>
      <c r="Q94" s="757"/>
    </row>
    <row r="95" spans="1:17">
      <c r="A95" s="735"/>
      <c r="B95" s="740" t="s">
        <v>326</v>
      </c>
      <c r="C95" s="737"/>
      <c r="D95" s="737"/>
      <c r="E95" s="737"/>
      <c r="F95" s="737"/>
      <c r="G95" s="737"/>
      <c r="H95" s="737"/>
      <c r="I95" s="737"/>
      <c r="J95" s="737"/>
      <c r="K95" s="737"/>
      <c r="L95" s="114"/>
      <c r="M95" s="114"/>
      <c r="N95" s="114"/>
      <c r="O95" s="114"/>
      <c r="P95" s="738"/>
      <c r="Q95" s="754"/>
    </row>
    <row r="96" spans="1:17">
      <c r="A96" s="735"/>
      <c r="B96" s="737"/>
      <c r="C96" s="737"/>
      <c r="D96" s="737"/>
      <c r="E96" s="737"/>
      <c r="F96" s="737"/>
      <c r="G96" s="737"/>
      <c r="H96" s="737"/>
      <c r="I96" s="737"/>
      <c r="J96" s="737"/>
      <c r="K96" s="737"/>
      <c r="L96" s="114"/>
      <c r="M96" s="114"/>
      <c r="N96" s="114"/>
      <c r="O96" s="114"/>
      <c r="P96" s="738"/>
      <c r="Q96" s="754"/>
    </row>
    <row r="97" spans="1:17">
      <c r="A97" s="735"/>
      <c r="B97" s="737"/>
      <c r="C97" s="737"/>
      <c r="D97" s="737"/>
      <c r="E97" s="737"/>
      <c r="F97" s="737"/>
      <c r="G97" s="737"/>
      <c r="H97" s="737"/>
      <c r="I97" s="737"/>
      <c r="J97" s="737"/>
      <c r="K97" s="737"/>
      <c r="L97" s="114"/>
      <c r="M97" s="114"/>
      <c r="N97" s="114"/>
      <c r="O97" s="114"/>
      <c r="P97" s="738"/>
      <c r="Q97" s="754"/>
    </row>
    <row r="98" spans="1:17">
      <c r="A98" s="735"/>
      <c r="B98" s="737"/>
      <c r="C98" s="737"/>
      <c r="D98" s="737"/>
      <c r="E98" s="737"/>
      <c r="F98" s="737"/>
      <c r="G98" s="737"/>
      <c r="H98" s="737"/>
      <c r="I98" s="737"/>
      <c r="J98" s="737"/>
      <c r="K98" s="737"/>
      <c r="L98" s="114"/>
      <c r="M98" s="114"/>
      <c r="N98" s="114"/>
      <c r="O98" s="114"/>
      <c r="P98" s="738"/>
      <c r="Q98" s="754"/>
    </row>
    <row r="99" spans="1:17">
      <c r="A99" s="735"/>
      <c r="B99" s="737"/>
      <c r="C99" s="737"/>
      <c r="D99" s="737"/>
      <c r="E99" s="737"/>
      <c r="F99" s="737"/>
      <c r="G99" s="737"/>
      <c r="H99" s="737"/>
      <c r="I99" s="737"/>
      <c r="J99" s="737"/>
      <c r="K99" s="737"/>
      <c r="L99" s="114"/>
      <c r="M99" s="114"/>
      <c r="N99" s="114"/>
      <c r="O99" s="114"/>
      <c r="P99" s="738"/>
      <c r="Q99" s="754"/>
    </row>
    <row r="100" spans="1:17">
      <c r="A100" s="735"/>
      <c r="B100" s="737"/>
      <c r="C100" s="737"/>
      <c r="D100" s="737"/>
      <c r="E100" s="737"/>
      <c r="F100" s="737"/>
      <c r="G100" s="737"/>
      <c r="H100" s="737"/>
      <c r="I100" s="737"/>
      <c r="J100" s="737"/>
      <c r="K100" s="737"/>
      <c r="L100" s="114"/>
      <c r="M100" s="114"/>
      <c r="N100" s="114"/>
      <c r="O100" s="114"/>
      <c r="P100" s="738"/>
      <c r="Q100" s="754"/>
    </row>
    <row r="101" spans="1:17">
      <c r="A101" s="735"/>
      <c r="B101" s="737"/>
      <c r="C101" s="737"/>
      <c r="D101" s="737"/>
      <c r="E101" s="737"/>
      <c r="F101" s="737"/>
      <c r="G101" s="737"/>
      <c r="H101" s="737"/>
      <c r="I101" s="737"/>
      <c r="J101" s="737"/>
      <c r="K101" s="737"/>
      <c r="L101" s="114"/>
      <c r="M101" s="114"/>
      <c r="N101" s="114"/>
      <c r="O101" s="114"/>
      <c r="P101" s="738"/>
      <c r="Q101" s="754"/>
    </row>
    <row r="102" spans="1:17">
      <c r="A102" s="735"/>
      <c r="B102" s="737"/>
      <c r="C102" s="737"/>
      <c r="D102" s="737"/>
      <c r="E102" s="737"/>
      <c r="F102" s="737"/>
      <c r="G102" s="737"/>
      <c r="H102" s="737"/>
      <c r="I102" s="737"/>
      <c r="J102" s="737"/>
      <c r="K102" s="737"/>
      <c r="L102" s="114"/>
      <c r="M102" s="114"/>
      <c r="N102" s="114"/>
      <c r="O102" s="114"/>
      <c r="P102" s="738"/>
      <c r="Q102" s="754"/>
    </row>
    <row r="103" spans="1:17">
      <c r="A103" s="735"/>
      <c r="B103" s="737"/>
      <c r="C103" s="737"/>
      <c r="D103" s="737"/>
      <c r="E103" s="737"/>
      <c r="F103" s="737"/>
      <c r="G103" s="737"/>
      <c r="H103" s="737"/>
      <c r="I103" s="737"/>
      <c r="J103" s="737"/>
      <c r="K103" s="737"/>
      <c r="L103" s="114"/>
      <c r="M103" s="114"/>
      <c r="N103" s="114"/>
      <c r="O103" s="114"/>
      <c r="P103" s="738"/>
      <c r="Q103" s="754"/>
    </row>
    <row r="104" spans="1:17">
      <c r="A104" s="735"/>
      <c r="B104" s="737"/>
      <c r="C104" s="737"/>
      <c r="D104" s="737"/>
      <c r="E104" s="737"/>
      <c r="F104" s="737"/>
      <c r="G104" s="737"/>
      <c r="H104" s="737"/>
      <c r="I104" s="737"/>
      <c r="J104" s="737"/>
      <c r="K104" s="737"/>
      <c r="L104" s="114"/>
      <c r="M104" s="114"/>
      <c r="N104" s="114"/>
      <c r="O104" s="114"/>
      <c r="P104" s="738"/>
      <c r="Q104" s="754"/>
    </row>
    <row r="105" spans="1:17">
      <c r="A105" s="735"/>
      <c r="B105" s="737"/>
      <c r="C105" s="737"/>
      <c r="D105" s="737"/>
      <c r="E105" s="737"/>
      <c r="F105" s="737"/>
      <c r="G105" s="737"/>
      <c r="H105" s="737"/>
      <c r="I105" s="737"/>
      <c r="J105" s="737"/>
      <c r="K105" s="737"/>
      <c r="L105" s="114"/>
      <c r="M105" s="114"/>
      <c r="N105" s="114"/>
      <c r="O105" s="114"/>
      <c r="P105" s="738"/>
      <c r="Q105" s="754"/>
    </row>
    <row r="106" spans="1:17">
      <c r="A106" s="735"/>
      <c r="B106" s="737"/>
      <c r="C106" s="737"/>
      <c r="D106" s="737"/>
      <c r="E106" s="737"/>
      <c r="F106" s="737"/>
      <c r="G106" s="737"/>
      <c r="H106" s="737"/>
      <c r="I106" s="737"/>
      <c r="J106" s="737"/>
      <c r="K106" s="737"/>
      <c r="L106" s="114"/>
      <c r="M106" s="114"/>
      <c r="N106" s="114"/>
      <c r="O106" s="114"/>
      <c r="P106" s="738"/>
      <c r="Q106" s="754"/>
    </row>
    <row r="107" spans="1:17">
      <c r="A107" s="735"/>
      <c r="B107" s="737"/>
      <c r="C107" s="737"/>
      <c r="D107" s="737"/>
      <c r="E107" s="737"/>
      <c r="F107" s="737"/>
      <c r="G107" s="737"/>
      <c r="H107" s="737"/>
      <c r="I107" s="737"/>
      <c r="J107" s="737"/>
      <c r="K107" s="737"/>
      <c r="L107" s="114"/>
      <c r="M107" s="114"/>
      <c r="N107" s="114"/>
      <c r="O107" s="114"/>
      <c r="P107" s="738"/>
      <c r="Q107" s="754"/>
    </row>
    <row r="108" spans="1:17">
      <c r="A108" s="735"/>
      <c r="B108" s="737"/>
      <c r="C108" s="737"/>
      <c r="D108" s="737"/>
      <c r="E108" s="737"/>
      <c r="F108" s="737"/>
      <c r="G108" s="737"/>
      <c r="H108" s="737"/>
      <c r="I108" s="737"/>
      <c r="J108" s="737"/>
      <c r="K108" s="737"/>
      <c r="L108" s="114"/>
      <c r="M108" s="114"/>
      <c r="N108" s="114"/>
      <c r="O108" s="114"/>
      <c r="P108" s="738"/>
      <c r="Q108" s="754"/>
    </row>
    <row r="109" spans="1:17">
      <c r="A109" s="735"/>
      <c r="B109" s="737"/>
      <c r="C109" s="737"/>
      <c r="D109" s="737"/>
      <c r="E109" s="737"/>
      <c r="F109" s="737"/>
      <c r="G109" s="737"/>
      <c r="H109" s="737"/>
      <c r="I109" s="737"/>
      <c r="J109" s="737"/>
      <c r="K109" s="737"/>
      <c r="L109" s="114"/>
      <c r="M109" s="114"/>
      <c r="N109" s="114"/>
      <c r="O109" s="114"/>
      <c r="P109" s="738"/>
      <c r="Q109" s="754"/>
    </row>
    <row r="110" spans="1:17">
      <c r="A110" s="735"/>
      <c r="B110" s="737"/>
      <c r="C110" s="737"/>
      <c r="D110" s="737"/>
      <c r="E110" s="737"/>
      <c r="F110" s="737"/>
      <c r="G110" s="737"/>
      <c r="H110" s="737"/>
      <c r="I110" s="737"/>
      <c r="J110" s="737"/>
      <c r="K110" s="737"/>
      <c r="L110" s="114"/>
      <c r="M110" s="114"/>
      <c r="N110" s="114"/>
      <c r="O110" s="114"/>
      <c r="P110" s="738"/>
      <c r="Q110" s="754"/>
    </row>
    <row r="111" spans="1:17">
      <c r="A111" s="735"/>
      <c r="B111" s="737"/>
      <c r="C111" s="737"/>
      <c r="D111" s="737"/>
      <c r="E111" s="737"/>
      <c r="F111" s="737"/>
      <c r="G111" s="737"/>
      <c r="H111" s="737"/>
      <c r="I111" s="737"/>
      <c r="J111" s="737"/>
      <c r="K111" s="737"/>
      <c r="L111" s="114"/>
      <c r="M111" s="114"/>
      <c r="N111" s="114"/>
      <c r="O111" s="114"/>
      <c r="P111" s="738"/>
      <c r="Q111" s="754"/>
    </row>
    <row r="112" spans="1:17">
      <c r="A112" s="735"/>
      <c r="B112" s="737"/>
      <c r="C112" s="737"/>
      <c r="D112" s="737"/>
      <c r="E112" s="737"/>
      <c r="F112" s="737"/>
      <c r="G112" s="737"/>
      <c r="H112" s="737"/>
      <c r="I112" s="737"/>
      <c r="J112" s="737"/>
      <c r="K112" s="737"/>
      <c r="L112" s="114"/>
      <c r="M112" s="114"/>
      <c r="N112" s="114"/>
      <c r="O112" s="114"/>
      <c r="P112" s="738"/>
      <c r="Q112" s="754"/>
    </row>
    <row r="113" spans="1:17">
      <c r="A113" s="735"/>
      <c r="B113" s="737"/>
      <c r="C113" s="737"/>
      <c r="D113" s="737"/>
      <c r="E113" s="737"/>
      <c r="F113" s="737"/>
      <c r="G113" s="737"/>
      <c r="H113" s="737"/>
      <c r="I113" s="737"/>
      <c r="J113" s="737"/>
      <c r="K113" s="737"/>
      <c r="L113" s="114"/>
      <c r="M113" s="114"/>
      <c r="N113" s="114"/>
      <c r="O113" s="114"/>
      <c r="P113" s="738"/>
      <c r="Q113" s="754"/>
    </row>
    <row r="114" spans="1:17">
      <c r="A114" s="735"/>
      <c r="B114" s="737"/>
      <c r="C114" s="737"/>
      <c r="D114" s="737"/>
      <c r="E114" s="737"/>
      <c r="F114" s="737"/>
      <c r="G114" s="737"/>
      <c r="H114" s="737"/>
      <c r="I114" s="737"/>
      <c r="J114" s="737"/>
      <c r="K114" s="737"/>
      <c r="L114" s="114"/>
      <c r="M114" s="114"/>
      <c r="N114" s="114"/>
      <c r="O114" s="114"/>
      <c r="P114" s="738"/>
      <c r="Q114" s="754"/>
    </row>
    <row r="115" spans="1:17">
      <c r="A115" s="735"/>
      <c r="B115" s="737"/>
      <c r="C115" s="737"/>
      <c r="D115" s="737"/>
      <c r="E115" s="737"/>
      <c r="F115" s="737"/>
      <c r="G115" s="737"/>
      <c r="H115" s="737"/>
      <c r="I115" s="737"/>
      <c r="J115" s="737"/>
      <c r="K115" s="737"/>
      <c r="L115" s="114"/>
      <c r="M115" s="114"/>
      <c r="N115" s="114"/>
      <c r="O115" s="114"/>
      <c r="P115" s="738"/>
      <c r="Q115" s="754"/>
    </row>
    <row r="116" spans="1:17">
      <c r="A116" s="735"/>
      <c r="B116" s="737"/>
      <c r="C116" s="737"/>
      <c r="D116" s="737"/>
      <c r="E116" s="737"/>
      <c r="F116" s="737"/>
      <c r="G116" s="737"/>
      <c r="H116" s="737"/>
      <c r="I116" s="737"/>
      <c r="J116" s="737"/>
      <c r="K116" s="737"/>
      <c r="L116" s="114"/>
      <c r="M116" s="114"/>
      <c r="N116" s="114"/>
      <c r="O116" s="114"/>
      <c r="P116" s="738"/>
      <c r="Q116" s="754"/>
    </row>
    <row r="117" spans="1:17">
      <c r="A117" s="735"/>
      <c r="B117" s="737"/>
      <c r="C117" s="737"/>
      <c r="D117" s="737"/>
      <c r="E117" s="737"/>
      <c r="F117" s="737"/>
      <c r="G117" s="737"/>
      <c r="H117" s="737"/>
      <c r="I117" s="737"/>
      <c r="J117" s="737"/>
      <c r="K117" s="737"/>
      <c r="L117" s="114"/>
      <c r="M117" s="114"/>
      <c r="N117" s="114"/>
      <c r="O117" s="114"/>
      <c r="P117" s="738"/>
      <c r="Q117" s="754"/>
    </row>
    <row r="118" spans="1:17">
      <c r="A118" s="735"/>
      <c r="B118" s="737"/>
      <c r="C118" s="737"/>
      <c r="D118" s="737"/>
      <c r="E118" s="737"/>
      <c r="F118" s="737"/>
      <c r="G118" s="737"/>
      <c r="H118" s="737"/>
      <c r="I118" s="737"/>
      <c r="J118" s="737"/>
      <c r="K118" s="737"/>
      <c r="L118" s="114"/>
      <c r="M118" s="114"/>
      <c r="N118" s="114"/>
      <c r="O118" s="114"/>
      <c r="P118" s="738"/>
      <c r="Q118" s="754"/>
    </row>
    <row r="119" spans="1:17">
      <c r="A119" s="735"/>
      <c r="B119" s="737"/>
      <c r="C119" s="737"/>
      <c r="D119" s="737"/>
      <c r="E119" s="737"/>
      <c r="F119" s="737"/>
      <c r="G119" s="737"/>
      <c r="H119" s="737"/>
      <c r="I119" s="737"/>
      <c r="J119" s="737"/>
      <c r="K119" s="737"/>
      <c r="L119" s="114"/>
      <c r="M119" s="114"/>
      <c r="N119" s="114"/>
      <c r="O119" s="114"/>
      <c r="P119" s="738"/>
      <c r="Q119" s="754"/>
    </row>
    <row r="120" spans="1:17">
      <c r="A120" s="735"/>
      <c r="B120" s="737"/>
      <c r="C120" s="737"/>
      <c r="D120" s="737"/>
      <c r="E120" s="737"/>
      <c r="F120" s="737"/>
      <c r="G120" s="737"/>
      <c r="H120" s="737"/>
      <c r="I120" s="737"/>
      <c r="J120" s="737"/>
      <c r="K120" s="737"/>
      <c r="L120" s="114"/>
      <c r="M120" s="114"/>
      <c r="N120" s="114"/>
      <c r="O120" s="114"/>
      <c r="P120" s="738"/>
      <c r="Q120" s="754"/>
    </row>
    <row r="121" spans="1:17">
      <c r="A121" s="735"/>
      <c r="B121" s="737"/>
      <c r="C121" s="737"/>
      <c r="D121" s="737"/>
      <c r="E121" s="737"/>
      <c r="F121" s="737"/>
      <c r="G121" s="737"/>
      <c r="H121" s="737"/>
      <c r="I121" s="737"/>
      <c r="J121" s="737"/>
      <c r="K121" s="737"/>
      <c r="L121" s="114"/>
      <c r="M121" s="114"/>
      <c r="N121" s="114"/>
      <c r="O121" s="114"/>
      <c r="P121" s="738"/>
      <c r="Q121" s="754"/>
    </row>
    <row r="122" spans="1:17">
      <c r="A122" s="735"/>
      <c r="B122" s="737"/>
      <c r="C122" s="737"/>
      <c r="D122" s="737"/>
      <c r="E122" s="737"/>
      <c r="F122" s="737"/>
      <c r="G122" s="737"/>
      <c r="H122" s="737"/>
      <c r="I122" s="737"/>
      <c r="J122" s="737"/>
      <c r="K122" s="737"/>
      <c r="L122" s="114"/>
      <c r="M122" s="114"/>
      <c r="N122" s="114"/>
      <c r="O122" s="114"/>
      <c r="P122" s="738"/>
      <c r="Q122" s="754"/>
    </row>
    <row r="123" spans="1:17">
      <c r="A123" s="735"/>
      <c r="B123" s="737"/>
      <c r="C123" s="737"/>
      <c r="D123" s="737"/>
      <c r="E123" s="737"/>
      <c r="F123" s="737"/>
      <c r="G123" s="737"/>
      <c r="H123" s="737"/>
      <c r="I123" s="737"/>
      <c r="J123" s="737"/>
      <c r="K123" s="737"/>
      <c r="L123" s="114"/>
      <c r="M123" s="114"/>
      <c r="N123" s="114"/>
      <c r="O123" s="114"/>
      <c r="P123" s="738"/>
      <c r="Q123" s="754"/>
    </row>
    <row r="124" spans="1:17">
      <c r="A124" s="735"/>
      <c r="B124" s="737"/>
      <c r="C124" s="737"/>
      <c r="D124" s="737"/>
      <c r="E124" s="737"/>
      <c r="F124" s="737"/>
      <c r="G124" s="737"/>
      <c r="H124" s="737"/>
      <c r="I124" s="737"/>
      <c r="J124" s="737"/>
      <c r="K124" s="737"/>
      <c r="L124" s="114"/>
      <c r="M124" s="114"/>
      <c r="N124" s="114"/>
      <c r="O124" s="114"/>
      <c r="P124" s="738"/>
      <c r="Q124" s="754"/>
    </row>
    <row r="125" spans="1:17">
      <c r="A125" s="735"/>
      <c r="B125" s="737"/>
      <c r="C125" s="737"/>
      <c r="D125" s="737"/>
      <c r="E125" s="737"/>
      <c r="F125" s="737"/>
      <c r="G125" s="737"/>
      <c r="H125" s="737"/>
      <c r="I125" s="737"/>
      <c r="J125" s="737"/>
      <c r="K125" s="737"/>
      <c r="L125" s="114"/>
      <c r="M125" s="114"/>
      <c r="N125" s="114"/>
      <c r="O125" s="114"/>
      <c r="P125" s="738"/>
      <c r="Q125" s="754"/>
    </row>
    <row r="126" spans="1:17">
      <c r="A126" s="735"/>
      <c r="B126" s="737"/>
      <c r="C126" s="737"/>
      <c r="D126" s="737"/>
      <c r="E126" s="737"/>
      <c r="F126" s="737"/>
      <c r="G126" s="737"/>
      <c r="H126" s="737"/>
      <c r="I126" s="737"/>
      <c r="J126" s="737"/>
      <c r="K126" s="737"/>
      <c r="L126" s="114"/>
      <c r="M126" s="114"/>
      <c r="N126" s="114"/>
      <c r="O126" s="114"/>
      <c r="P126" s="738"/>
      <c r="Q126" s="754"/>
    </row>
    <row r="127" spans="1:17">
      <c r="A127" s="735"/>
      <c r="B127" s="737"/>
      <c r="C127" s="737"/>
      <c r="D127" s="737"/>
      <c r="E127" s="737"/>
      <c r="F127" s="737"/>
      <c r="G127" s="737"/>
      <c r="H127" s="737"/>
      <c r="I127" s="737"/>
      <c r="J127" s="737"/>
      <c r="K127" s="737"/>
      <c r="L127" s="114"/>
      <c r="M127" s="114"/>
      <c r="N127" s="114"/>
      <c r="O127" s="114"/>
      <c r="P127" s="738"/>
      <c r="Q127" s="754"/>
    </row>
    <row r="128" spans="1:17">
      <c r="A128" s="735"/>
      <c r="B128" s="737"/>
      <c r="C128" s="737"/>
      <c r="D128" s="737"/>
      <c r="E128" s="737"/>
      <c r="F128" s="737"/>
      <c r="G128" s="737"/>
      <c r="H128" s="737"/>
      <c r="I128" s="737"/>
      <c r="J128" s="737"/>
      <c r="K128" s="737"/>
      <c r="L128" s="114"/>
      <c r="M128" s="114"/>
      <c r="N128" s="114"/>
      <c r="O128" s="114"/>
      <c r="P128" s="738"/>
      <c r="Q128" s="754"/>
    </row>
    <row r="129" spans="1:17">
      <c r="A129" s="735"/>
      <c r="B129" s="737"/>
      <c r="C129" s="737"/>
      <c r="D129" s="737"/>
      <c r="E129" s="737"/>
      <c r="F129" s="737"/>
      <c r="G129" s="737"/>
      <c r="H129" s="737"/>
      <c r="I129" s="737"/>
      <c r="J129" s="737"/>
      <c r="K129" s="737"/>
      <c r="L129" s="114"/>
      <c r="M129" s="114"/>
      <c r="N129" s="114"/>
      <c r="O129" s="114"/>
      <c r="P129" s="738"/>
      <c r="Q129" s="754"/>
    </row>
    <row r="130" spans="1:17">
      <c r="A130" s="735"/>
      <c r="B130" s="737"/>
      <c r="C130" s="737"/>
      <c r="D130" s="737"/>
      <c r="E130" s="737"/>
      <c r="F130" s="737"/>
      <c r="G130" s="737"/>
      <c r="H130" s="737"/>
      <c r="I130" s="737"/>
      <c r="J130" s="737"/>
      <c r="K130" s="737"/>
      <c r="L130" s="114"/>
      <c r="M130" s="114"/>
      <c r="N130" s="114"/>
      <c r="O130" s="114"/>
      <c r="P130" s="738"/>
      <c r="Q130" s="754"/>
    </row>
    <row r="131" spans="1:17">
      <c r="A131" s="735"/>
      <c r="B131" s="737"/>
      <c r="C131" s="737"/>
      <c r="D131" s="737"/>
      <c r="E131" s="737"/>
      <c r="F131" s="737"/>
      <c r="G131" s="737"/>
      <c r="H131" s="737"/>
      <c r="I131" s="737"/>
      <c r="J131" s="737"/>
      <c r="K131" s="737"/>
      <c r="L131" s="114"/>
      <c r="M131" s="114"/>
      <c r="N131" s="114"/>
      <c r="O131" s="114"/>
      <c r="P131" s="738"/>
      <c r="Q131" s="754"/>
    </row>
    <row r="132" spans="1:17">
      <c r="A132" s="735"/>
      <c r="B132" s="737"/>
      <c r="C132" s="737"/>
      <c r="D132" s="737"/>
      <c r="E132" s="737"/>
      <c r="F132" s="737"/>
      <c r="G132" s="737"/>
      <c r="H132" s="737"/>
      <c r="I132" s="737"/>
      <c r="J132" s="737"/>
      <c r="K132" s="737"/>
      <c r="L132" s="114"/>
      <c r="M132" s="114"/>
      <c r="N132" s="114"/>
      <c r="O132" s="114"/>
      <c r="P132" s="738"/>
      <c r="Q132" s="754"/>
    </row>
    <row r="133" spans="1:17">
      <c r="A133" s="735"/>
      <c r="B133" s="737"/>
      <c r="C133" s="737"/>
      <c r="D133" s="737"/>
      <c r="E133" s="737"/>
      <c r="F133" s="737"/>
      <c r="G133" s="737"/>
      <c r="H133" s="737"/>
      <c r="I133" s="737"/>
      <c r="J133" s="737"/>
      <c r="K133" s="737"/>
      <c r="L133" s="114"/>
      <c r="M133" s="114"/>
      <c r="N133" s="114"/>
      <c r="O133" s="114"/>
      <c r="P133" s="738"/>
      <c r="Q133" s="754"/>
    </row>
    <row r="134" spans="1:17">
      <c r="A134" s="735"/>
      <c r="B134" s="737"/>
      <c r="C134" s="737"/>
      <c r="D134" s="737"/>
      <c r="E134" s="737"/>
      <c r="F134" s="737"/>
      <c r="G134" s="737"/>
      <c r="H134" s="737"/>
      <c r="I134" s="737"/>
      <c r="J134" s="737"/>
      <c r="K134" s="737"/>
      <c r="L134" s="114"/>
      <c r="M134" s="114"/>
      <c r="N134" s="114"/>
      <c r="O134" s="114"/>
      <c r="P134" s="738"/>
      <c r="Q134" s="754"/>
    </row>
    <row r="135" spans="1:17">
      <c r="A135" s="735"/>
      <c r="B135" s="737"/>
      <c r="C135" s="737"/>
      <c r="D135" s="737"/>
      <c r="E135" s="737"/>
      <c r="F135" s="737"/>
      <c r="G135" s="737"/>
      <c r="H135" s="737"/>
      <c r="I135" s="737"/>
      <c r="J135" s="737"/>
      <c r="K135" s="737"/>
      <c r="L135" s="114"/>
      <c r="M135" s="114"/>
      <c r="N135" s="114"/>
      <c r="O135" s="114"/>
      <c r="P135" s="738"/>
      <c r="Q135" s="754"/>
    </row>
    <row r="136" spans="1:17">
      <c r="A136" s="735"/>
      <c r="B136" s="737"/>
      <c r="C136" s="737"/>
      <c r="D136" s="737"/>
      <c r="E136" s="737"/>
      <c r="F136" s="737"/>
      <c r="G136" s="737"/>
      <c r="H136" s="737"/>
      <c r="I136" s="737"/>
      <c r="J136" s="737"/>
      <c r="K136" s="737"/>
      <c r="L136" s="114"/>
      <c r="M136" s="114"/>
      <c r="N136" s="114"/>
      <c r="O136" s="114"/>
      <c r="P136" s="738"/>
      <c r="Q136" s="754"/>
    </row>
    <row r="137" spans="1:17">
      <c r="A137" s="735"/>
      <c r="B137" s="417"/>
      <c r="C137" s="417"/>
      <c r="D137" s="417"/>
      <c r="E137" s="737"/>
      <c r="F137" s="737"/>
      <c r="G137" s="737"/>
      <c r="H137" s="737"/>
      <c r="I137" s="737"/>
      <c r="J137" s="737"/>
      <c r="K137" s="737"/>
      <c r="L137" s="114"/>
      <c r="M137" s="114"/>
      <c r="N137" s="114"/>
      <c r="O137" s="114"/>
      <c r="P137" s="738"/>
      <c r="Q137" s="754"/>
    </row>
    <row r="138" spans="1:17">
      <c r="A138" s="735"/>
      <c r="B138" s="417"/>
      <c r="C138" s="417"/>
      <c r="D138" s="417"/>
      <c r="E138" s="737"/>
      <c r="F138" s="737"/>
      <c r="G138" s="737"/>
      <c r="H138" s="737"/>
      <c r="I138" s="737"/>
      <c r="J138" s="737"/>
      <c r="K138" s="737"/>
      <c r="L138" s="114"/>
      <c r="M138" s="114"/>
      <c r="N138" s="114"/>
      <c r="O138" s="114"/>
      <c r="P138" s="738"/>
      <c r="Q138" s="754"/>
    </row>
    <row r="139" spans="1:17">
      <c r="A139" s="735"/>
      <c r="B139" s="737"/>
      <c r="C139" s="737"/>
      <c r="D139" s="417"/>
      <c r="E139" s="737"/>
      <c r="F139" s="737"/>
      <c r="G139" s="737"/>
      <c r="H139" s="737"/>
      <c r="I139" s="737"/>
      <c r="J139" s="737"/>
      <c r="K139" s="737"/>
      <c r="L139" s="114"/>
      <c r="M139" s="114"/>
      <c r="N139" s="114"/>
      <c r="O139" s="114"/>
      <c r="P139" s="738"/>
      <c r="Q139" s="754"/>
    </row>
    <row r="140" spans="1:17">
      <c r="A140" s="735"/>
      <c r="B140" s="737"/>
      <c r="C140" s="737"/>
      <c r="D140" s="417"/>
      <c r="E140" s="737"/>
      <c r="F140" s="737"/>
      <c r="G140" s="737"/>
      <c r="H140" s="737"/>
      <c r="I140" s="737"/>
      <c r="J140" s="737"/>
      <c r="K140" s="737"/>
      <c r="L140" s="114"/>
      <c r="M140" s="114"/>
      <c r="N140" s="114"/>
      <c r="O140" s="114"/>
      <c r="P140" s="738"/>
      <c r="Q140" s="754"/>
    </row>
    <row r="141" spans="1:17">
      <c r="A141" s="735"/>
      <c r="B141" s="737"/>
      <c r="C141" s="737"/>
      <c r="D141" s="417"/>
      <c r="E141" s="737"/>
      <c r="F141" s="737"/>
      <c r="G141" s="737"/>
      <c r="H141" s="737"/>
      <c r="I141" s="740" t="s">
        <v>149</v>
      </c>
      <c r="J141" s="737"/>
      <c r="K141" s="737"/>
      <c r="L141" s="114"/>
      <c r="M141" s="114"/>
      <c r="N141" s="114"/>
      <c r="O141" s="114"/>
      <c r="P141" s="738"/>
      <c r="Q141" s="754"/>
    </row>
    <row r="142" spans="1:17">
      <c r="A142" s="735"/>
      <c r="B142" s="737"/>
      <c r="C142" s="737"/>
      <c r="D142" s="417"/>
      <c r="E142" s="737"/>
      <c r="F142" s="737"/>
      <c r="G142" s="737"/>
      <c r="H142" s="737"/>
      <c r="I142" s="737"/>
      <c r="J142" s="737"/>
      <c r="K142" s="737"/>
      <c r="L142" s="114"/>
      <c r="M142" s="114"/>
      <c r="N142" s="114"/>
      <c r="O142" s="114"/>
      <c r="P142" s="738"/>
      <c r="Q142" s="754"/>
    </row>
    <row r="143" spans="1:17">
      <c r="A143" s="735"/>
      <c r="B143" s="737"/>
      <c r="C143" s="737"/>
      <c r="D143" s="417"/>
      <c r="E143" s="737"/>
      <c r="F143" s="737"/>
      <c r="G143" s="737"/>
      <c r="H143" s="737"/>
      <c r="I143" s="737"/>
      <c r="J143" s="737"/>
      <c r="K143" s="737"/>
      <c r="L143" s="114"/>
      <c r="M143" s="114"/>
      <c r="N143" s="114"/>
      <c r="O143" s="114"/>
      <c r="P143" s="738"/>
      <c r="Q143" s="754"/>
    </row>
    <row r="144" spans="1:17">
      <c r="A144" s="735"/>
      <c r="B144" s="749" t="s">
        <v>150</v>
      </c>
      <c r="C144" s="417"/>
      <c r="D144" s="417"/>
      <c r="E144" s="737"/>
      <c r="F144" s="737"/>
      <c r="G144" s="737"/>
      <c r="H144" s="737"/>
      <c r="I144" s="737"/>
      <c r="J144" s="737"/>
      <c r="K144" s="737"/>
      <c r="L144" s="114"/>
      <c r="M144" s="114"/>
      <c r="N144" s="114"/>
      <c r="O144" s="114"/>
      <c r="P144" s="738"/>
      <c r="Q144" s="754"/>
    </row>
    <row r="145" spans="1:17">
      <c r="A145" s="735"/>
      <c r="B145" s="740" t="s">
        <v>151</v>
      </c>
      <c r="C145" s="737"/>
      <c r="D145" s="737"/>
      <c r="E145" s="737"/>
      <c r="F145" s="417"/>
      <c r="G145" s="417"/>
      <c r="H145" s="737"/>
      <c r="I145" s="737"/>
      <c r="J145" s="737"/>
      <c r="K145" s="737"/>
      <c r="L145" s="114"/>
      <c r="M145" s="114"/>
      <c r="N145" s="114"/>
      <c r="O145" s="114"/>
      <c r="P145" s="738"/>
      <c r="Q145" s="754"/>
    </row>
    <row r="146" spans="1:17">
      <c r="A146" s="735"/>
      <c r="B146" s="740" t="s">
        <v>152</v>
      </c>
      <c r="C146" s="740"/>
      <c r="D146" s="740"/>
      <c r="E146" s="740"/>
      <c r="F146" s="417"/>
      <c r="G146" s="417"/>
      <c r="H146" s="737"/>
      <c r="I146" s="737"/>
      <c r="J146" s="737"/>
      <c r="K146" s="737"/>
      <c r="L146" s="114"/>
      <c r="M146" s="114"/>
      <c r="N146" s="114"/>
      <c r="O146" s="114"/>
      <c r="P146" s="738"/>
      <c r="Q146" s="754"/>
    </row>
    <row r="147" spans="1:17">
      <c r="A147" s="735"/>
      <c r="B147" s="740" t="s">
        <v>153</v>
      </c>
      <c r="C147" s="740"/>
      <c r="D147" s="740"/>
      <c r="E147" s="740"/>
      <c r="F147" s="417"/>
      <c r="G147" s="417"/>
      <c r="H147" s="737"/>
      <c r="I147" s="737"/>
      <c r="J147" s="737"/>
      <c r="K147" s="737"/>
      <c r="L147" s="114"/>
      <c r="M147" s="114"/>
      <c r="N147" s="114"/>
      <c r="O147" s="114"/>
      <c r="P147" s="738"/>
      <c r="Q147" s="754"/>
    </row>
    <row r="148" spans="1:17">
      <c r="A148" s="735"/>
      <c r="B148" s="734"/>
      <c r="C148" s="774" t="s">
        <v>154</v>
      </c>
      <c r="D148" s="774" t="s">
        <v>155</v>
      </c>
      <c r="E148" s="774" t="s">
        <v>156</v>
      </c>
      <c r="F148" s="417"/>
      <c r="G148" s="417"/>
      <c r="H148" s="737"/>
      <c r="I148" s="98"/>
      <c r="J148" s="98"/>
      <c r="K148" s="98"/>
      <c r="L148" s="114"/>
      <c r="M148" s="114"/>
      <c r="N148" s="114"/>
      <c r="O148" s="114"/>
      <c r="P148" s="738"/>
      <c r="Q148" s="754"/>
    </row>
    <row r="149" spans="1:17">
      <c r="A149" s="735"/>
      <c r="B149" s="718" t="str">
        <f t="shared" ref="B149:B154" si="8">C11</f>
        <v>Infantes</v>
      </c>
      <c r="C149" s="761">
        <v>4641</v>
      </c>
      <c r="D149" s="762">
        <v>4726</v>
      </c>
      <c r="E149" s="763"/>
      <c r="F149" s="417"/>
      <c r="G149" s="417"/>
      <c r="H149" s="737"/>
      <c r="I149" s="98"/>
      <c r="J149" s="98"/>
      <c r="K149" s="98"/>
      <c r="L149" s="114"/>
      <c r="M149" s="114"/>
      <c r="N149" s="114"/>
      <c r="O149" s="114"/>
      <c r="P149" s="738"/>
      <c r="Q149" s="754"/>
    </row>
    <row r="150" spans="1:17">
      <c r="A150" s="735"/>
      <c r="B150" s="718" t="str">
        <f t="shared" si="8"/>
        <v>Niños pequeños</v>
      </c>
      <c r="C150" s="761"/>
      <c r="D150" s="762"/>
      <c r="E150" s="763"/>
      <c r="F150" s="417"/>
      <c r="G150" s="417"/>
      <c r="H150" s="737"/>
      <c r="I150" s="98"/>
      <c r="J150" s="98"/>
      <c r="K150" s="98"/>
      <c r="L150" s="114"/>
      <c r="M150" s="114"/>
      <c r="N150" s="114"/>
      <c r="O150" s="114"/>
      <c r="P150" s="738"/>
      <c r="Q150" s="754"/>
    </row>
    <row r="151" spans="1:17">
      <c r="A151" s="735"/>
      <c r="B151" s="718" t="str">
        <f t="shared" si="8"/>
        <v>2 años de edad</v>
      </c>
      <c r="C151" s="761"/>
      <c r="D151" s="762"/>
      <c r="E151" s="763"/>
      <c r="F151" s="417"/>
      <c r="G151" s="417"/>
      <c r="H151" s="737"/>
      <c r="I151" s="98"/>
      <c r="J151" s="98"/>
      <c r="K151" s="98"/>
      <c r="L151" s="114"/>
      <c r="M151" s="114"/>
      <c r="N151" s="114"/>
      <c r="O151" s="114"/>
      <c r="P151" s="738"/>
      <c r="Q151" s="754"/>
    </row>
    <row r="152" spans="1:17">
      <c r="A152" s="735"/>
      <c r="B152" s="718" t="str">
        <f t="shared" si="8"/>
        <v>3 años de edad</v>
      </c>
      <c r="C152" s="761"/>
      <c r="D152" s="762"/>
      <c r="E152" s="763"/>
      <c r="F152" s="417"/>
      <c r="G152" s="417"/>
      <c r="H152" s="737"/>
      <c r="I152" s="98"/>
      <c r="J152" s="98"/>
      <c r="K152" s="98"/>
      <c r="L152" s="114"/>
      <c r="M152" s="114"/>
      <c r="N152" s="114"/>
      <c r="O152" s="114"/>
      <c r="P152" s="738"/>
      <c r="Q152" s="754"/>
    </row>
    <row r="153" spans="1:17">
      <c r="A153" s="735"/>
      <c r="B153" s="718" t="str">
        <f t="shared" si="8"/>
        <v>4-5 años de edad</v>
      </c>
      <c r="C153" s="761"/>
      <c r="D153" s="762"/>
      <c r="E153" s="763"/>
      <c r="F153" s="417"/>
      <c r="G153" s="417"/>
      <c r="H153" s="737"/>
      <c r="I153" s="98"/>
      <c r="J153" s="98"/>
      <c r="K153" s="98"/>
      <c r="L153" s="114"/>
      <c r="M153" s="114"/>
      <c r="N153" s="114"/>
      <c r="O153" s="114"/>
      <c r="P153" s="738"/>
      <c r="Q153" s="754"/>
    </row>
    <row r="154" spans="1:17">
      <c r="A154" s="735"/>
      <c r="B154" s="718" t="str">
        <f t="shared" si="8"/>
        <v>Edad escolar</v>
      </c>
      <c r="C154" s="761"/>
      <c r="D154" s="762"/>
      <c r="E154" s="763"/>
      <c r="F154" s="417"/>
      <c r="G154" s="417"/>
      <c r="H154" s="737"/>
      <c r="I154" s="98"/>
      <c r="J154" s="98"/>
      <c r="K154" s="98"/>
      <c r="L154" s="114"/>
      <c r="M154" s="114"/>
      <c r="N154" s="114"/>
      <c r="O154" s="114"/>
      <c r="P154" s="738"/>
      <c r="Q154" s="754"/>
    </row>
    <row r="155" spans="1:17">
      <c r="A155" s="735"/>
      <c r="B155" s="417"/>
      <c r="C155" s="417"/>
      <c r="D155" s="417"/>
      <c r="E155" s="417"/>
      <c r="F155" s="417"/>
      <c r="G155" s="417"/>
      <c r="H155" s="737"/>
      <c r="I155" s="98"/>
      <c r="J155" s="98"/>
      <c r="K155" s="98"/>
      <c r="L155" s="114"/>
      <c r="M155" s="114"/>
      <c r="N155" s="114"/>
      <c r="O155" s="114"/>
      <c r="P155" s="738"/>
      <c r="Q155" s="754"/>
    </row>
    <row r="156" spans="1:17">
      <c r="A156" s="735"/>
      <c r="B156" s="775" t="s">
        <v>157</v>
      </c>
      <c r="C156" s="838"/>
      <c r="D156" s="838"/>
      <c r="E156" s="838"/>
      <c r="F156" s="417"/>
      <c r="G156" s="417"/>
      <c r="H156" s="737"/>
      <c r="I156" s="737"/>
      <c r="J156" s="737"/>
      <c r="K156" s="737"/>
      <c r="L156" s="114"/>
      <c r="M156" s="114"/>
      <c r="N156" s="114"/>
      <c r="O156" s="114"/>
      <c r="P156" s="738"/>
      <c r="Q156" s="754"/>
    </row>
    <row r="157" spans="1:17">
      <c r="A157" s="735"/>
      <c r="B157" s="417"/>
      <c r="C157" s="838"/>
      <c r="D157" s="838"/>
      <c r="E157" s="838"/>
      <c r="F157" s="417"/>
      <c r="G157" s="417"/>
      <c r="H157" s="737"/>
      <c r="I157" s="737"/>
      <c r="J157" s="737"/>
      <c r="K157" s="737"/>
      <c r="L157" s="114"/>
      <c r="M157" s="114"/>
      <c r="N157" s="114"/>
      <c r="O157" s="114"/>
      <c r="P157" s="738"/>
      <c r="Q157" s="754"/>
    </row>
    <row r="158" spans="1:17">
      <c r="A158" s="735"/>
      <c r="B158" s="417"/>
      <c r="C158" s="838"/>
      <c r="D158" s="838"/>
      <c r="E158" s="838"/>
      <c r="F158" s="417"/>
      <c r="G158" s="417"/>
      <c r="H158" s="737"/>
      <c r="I158" s="737"/>
      <c r="J158" s="737"/>
      <c r="K158" s="737"/>
      <c r="L158" s="114"/>
      <c r="M158" s="114"/>
      <c r="N158" s="114"/>
      <c r="O158" s="114"/>
      <c r="P158" s="738"/>
      <c r="Q158" s="754"/>
    </row>
    <row r="159" spans="1:17">
      <c r="A159" s="735"/>
      <c r="B159" s="417"/>
      <c r="C159" s="838"/>
      <c r="D159" s="838"/>
      <c r="E159" s="838"/>
      <c r="F159" s="417"/>
      <c r="G159" s="417"/>
      <c r="H159" s="737"/>
      <c r="I159" s="737"/>
      <c r="J159" s="737"/>
      <c r="K159" s="737"/>
      <c r="L159" s="114"/>
      <c r="M159" s="114"/>
      <c r="N159" s="114"/>
      <c r="O159" s="114"/>
      <c r="P159" s="738"/>
      <c r="Q159" s="754"/>
    </row>
    <row r="160" spans="1:17">
      <c r="A160" s="735"/>
      <c r="B160" s="417"/>
      <c r="C160" s="838"/>
      <c r="D160" s="838"/>
      <c r="E160" s="838"/>
      <c r="F160" s="417"/>
      <c r="G160" s="417"/>
      <c r="H160" s="737"/>
      <c r="I160" s="737"/>
      <c r="J160" s="737"/>
      <c r="K160" s="737"/>
      <c r="L160" s="114"/>
      <c r="M160" s="114"/>
      <c r="N160" s="114"/>
      <c r="O160" s="114"/>
      <c r="P160" s="738"/>
      <c r="Q160" s="754"/>
    </row>
    <row r="161" spans="1:17">
      <c r="A161" s="735"/>
      <c r="B161" s="417"/>
      <c r="C161" s="838"/>
      <c r="D161" s="838"/>
      <c r="E161" s="838"/>
      <c r="F161" s="417"/>
      <c r="G161" s="417"/>
      <c r="H161" s="737"/>
      <c r="I161" s="737"/>
      <c r="J161" s="737"/>
      <c r="K161" s="737"/>
      <c r="L161" s="114"/>
      <c r="M161" s="114"/>
      <c r="N161" s="114"/>
      <c r="O161" s="114"/>
      <c r="P161" s="738"/>
      <c r="Q161" s="754"/>
    </row>
    <row r="162" spans="1:17">
      <c r="A162" s="735"/>
      <c r="B162" s="417"/>
      <c r="C162" s="417"/>
      <c r="D162" s="417"/>
      <c r="E162" s="417"/>
      <c r="F162" s="417"/>
      <c r="G162" s="417"/>
      <c r="H162" s="737"/>
      <c r="I162" s="737"/>
      <c r="J162" s="737"/>
      <c r="K162" s="737"/>
      <c r="L162" s="114"/>
      <c r="M162" s="114"/>
      <c r="N162" s="114"/>
      <c r="O162" s="114"/>
      <c r="P162" s="738"/>
      <c r="Q162" s="754"/>
    </row>
    <row r="163" spans="1:17">
      <c r="A163" s="735"/>
      <c r="B163" s="417"/>
      <c r="C163" s="417"/>
      <c r="D163" s="417"/>
      <c r="E163" s="417"/>
      <c r="F163" s="417"/>
      <c r="G163" s="417"/>
      <c r="H163" s="737"/>
      <c r="I163" s="737"/>
      <c r="J163" s="737"/>
      <c r="K163" s="737"/>
      <c r="L163" s="114"/>
      <c r="M163" s="114"/>
      <c r="N163" s="114"/>
      <c r="O163" s="114"/>
      <c r="P163" s="738"/>
      <c r="Q163" s="754"/>
    </row>
    <row r="164" spans="1:17">
      <c r="A164" s="735"/>
      <c r="B164" s="417"/>
      <c r="C164" s="417"/>
      <c r="D164" s="417"/>
      <c r="E164" s="417"/>
      <c r="F164" s="417"/>
      <c r="G164" s="417"/>
      <c r="H164" s="737"/>
      <c r="I164" s="737"/>
      <c r="J164" s="737"/>
      <c r="K164" s="737"/>
      <c r="L164" s="114"/>
      <c r="M164" s="114"/>
      <c r="N164" s="114"/>
      <c r="O164" s="114"/>
      <c r="P164" s="738"/>
      <c r="Q164" s="754"/>
    </row>
    <row r="165" spans="1:17">
      <c r="A165" s="735"/>
      <c r="B165" s="737"/>
      <c r="C165" s="737"/>
      <c r="D165" s="417"/>
      <c r="E165" s="417"/>
      <c r="F165" s="417"/>
      <c r="G165" s="417"/>
      <c r="H165" s="737"/>
      <c r="I165" s="737"/>
      <c r="J165" s="737"/>
      <c r="K165" s="737"/>
      <c r="L165" s="114"/>
      <c r="M165" s="114"/>
      <c r="N165" s="114"/>
      <c r="O165" s="114"/>
      <c r="P165" s="738"/>
      <c r="Q165" s="754"/>
    </row>
    <row r="166" spans="1:17">
      <c r="A166" s="735"/>
      <c r="B166" s="737"/>
      <c r="C166" s="737"/>
      <c r="D166" s="417"/>
      <c r="E166" s="417"/>
      <c r="F166" s="417"/>
      <c r="G166" s="417"/>
      <c r="H166" s="737"/>
      <c r="I166" s="737"/>
      <c r="J166" s="737"/>
      <c r="K166" s="737"/>
      <c r="L166" s="114"/>
      <c r="M166" s="114"/>
      <c r="N166" s="114"/>
      <c r="O166" s="114"/>
      <c r="P166" s="738"/>
      <c r="Q166" s="754"/>
    </row>
    <row r="167" spans="1:17">
      <c r="A167" s="735"/>
      <c r="B167" s="737"/>
      <c r="C167" s="737"/>
      <c r="D167" s="417"/>
      <c r="E167" s="417"/>
      <c r="F167" s="417"/>
      <c r="G167" s="417"/>
      <c r="H167" s="737"/>
      <c r="I167" s="737"/>
      <c r="J167" s="737"/>
      <c r="K167" s="737"/>
      <c r="L167" s="114"/>
      <c r="M167" s="114"/>
      <c r="N167" s="114"/>
      <c r="O167" s="114"/>
      <c r="P167" s="738"/>
      <c r="Q167" s="754"/>
    </row>
    <row r="168" spans="1:17">
      <c r="A168" s="735"/>
      <c r="B168" s="737"/>
      <c r="C168" s="737"/>
      <c r="D168" s="417"/>
      <c r="E168" s="417"/>
      <c r="F168" s="417"/>
      <c r="G168" s="417"/>
      <c r="H168" s="737"/>
      <c r="I168" s="737"/>
      <c r="J168" s="737"/>
      <c r="K168" s="737"/>
      <c r="L168" s="114"/>
      <c r="M168" s="114"/>
      <c r="N168" s="114"/>
      <c r="O168" s="114"/>
      <c r="P168" s="738"/>
      <c r="Q168" s="754"/>
    </row>
    <row r="169" spans="1:17">
      <c r="A169" s="735"/>
      <c r="B169" s="737"/>
      <c r="C169" s="737"/>
      <c r="D169" s="417"/>
      <c r="E169" s="417"/>
      <c r="F169" s="417"/>
      <c r="G169" s="417"/>
      <c r="H169" s="737"/>
      <c r="I169" s="737"/>
      <c r="J169" s="737"/>
      <c r="K169" s="737"/>
      <c r="L169" s="114"/>
      <c r="M169" s="114"/>
      <c r="N169" s="114"/>
      <c r="O169" s="114"/>
      <c r="P169" s="738"/>
      <c r="Q169" s="754"/>
    </row>
    <row r="170" spans="1:17">
      <c r="A170" s="735"/>
      <c r="B170" s="737"/>
      <c r="C170" s="737"/>
      <c r="D170" s="417"/>
      <c r="E170" s="417"/>
      <c r="F170" s="417"/>
      <c r="G170" s="417"/>
      <c r="H170" s="737"/>
      <c r="I170" s="737"/>
      <c r="J170" s="737"/>
      <c r="K170" s="737"/>
      <c r="L170" s="114"/>
      <c r="M170" s="114"/>
      <c r="N170" s="114"/>
      <c r="O170" s="114"/>
      <c r="P170" s="738"/>
      <c r="Q170" s="754"/>
    </row>
    <row r="171" spans="1:17">
      <c r="A171" s="735"/>
      <c r="B171" s="737"/>
      <c r="C171" s="737"/>
      <c r="D171" s="417"/>
      <c r="E171" s="417"/>
      <c r="F171" s="417"/>
      <c r="G171" s="417"/>
      <c r="H171" s="737"/>
      <c r="I171" s="737"/>
      <c r="J171" s="737"/>
      <c r="K171" s="737"/>
      <c r="L171" s="114"/>
      <c r="M171" s="114"/>
      <c r="N171" s="114"/>
      <c r="O171" s="114"/>
      <c r="P171" s="738"/>
      <c r="Q171" s="754"/>
    </row>
    <row r="172" spans="1:17">
      <c r="A172" s="735"/>
      <c r="B172" s="737"/>
      <c r="C172" s="737"/>
      <c r="D172" s="741"/>
      <c r="E172" s="417"/>
      <c r="F172" s="417"/>
      <c r="G172" s="417"/>
      <c r="H172" s="737"/>
      <c r="I172" s="737"/>
      <c r="J172" s="737"/>
      <c r="K172" s="737"/>
      <c r="L172" s="114"/>
      <c r="M172" s="114"/>
      <c r="N172" s="114"/>
      <c r="O172" s="114"/>
      <c r="P172" s="738"/>
      <c r="Q172" s="754"/>
    </row>
    <row r="173" spans="1:17">
      <c r="A173" s="735"/>
      <c r="B173" s="737"/>
      <c r="C173" s="737"/>
      <c r="D173" s="417"/>
      <c r="E173" s="417"/>
      <c r="F173" s="417"/>
      <c r="G173" s="417"/>
      <c r="H173" s="737"/>
      <c r="I173" s="737"/>
      <c r="J173" s="737"/>
      <c r="K173" s="737"/>
      <c r="L173" s="114"/>
      <c r="M173" s="114"/>
      <c r="N173" s="114"/>
      <c r="O173" s="114"/>
      <c r="P173" s="738"/>
      <c r="Q173" s="754"/>
    </row>
    <row r="174" spans="1:17">
      <c r="A174" s="735"/>
      <c r="B174" s="417"/>
      <c r="C174" s="417"/>
      <c r="D174" s="417"/>
      <c r="E174" s="417"/>
      <c r="F174" s="417"/>
      <c r="G174" s="417"/>
      <c r="H174" s="737"/>
      <c r="I174" s="737"/>
      <c r="J174" s="737"/>
      <c r="K174" s="737"/>
      <c r="L174" s="114"/>
      <c r="M174" s="114"/>
      <c r="N174" s="114"/>
      <c r="O174" s="114"/>
      <c r="P174" s="738"/>
      <c r="Q174" s="754"/>
    </row>
    <row r="175" spans="1:17">
      <c r="A175" s="735"/>
      <c r="B175" s="417"/>
      <c r="C175" s="417"/>
      <c r="D175" s="417"/>
      <c r="E175" s="738"/>
      <c r="F175" s="738"/>
      <c r="G175" s="738"/>
      <c r="H175" s="738"/>
      <c r="I175" s="738"/>
      <c r="J175" s="737"/>
      <c r="K175" s="737"/>
      <c r="L175" s="114"/>
      <c r="M175" s="114"/>
      <c r="N175" s="114"/>
      <c r="O175" s="114"/>
      <c r="P175" s="738"/>
      <c r="Q175" s="754"/>
    </row>
    <row r="176" spans="1:17">
      <c r="A176" s="735"/>
      <c r="B176" s="417"/>
      <c r="C176" s="417"/>
      <c r="D176" s="417"/>
      <c r="E176" s="738"/>
      <c r="F176" s="738"/>
      <c r="G176" s="738"/>
      <c r="H176" s="738"/>
      <c r="I176" s="738"/>
      <c r="J176" s="737"/>
      <c r="K176" s="737"/>
      <c r="L176" s="114"/>
      <c r="M176" s="114"/>
      <c r="N176" s="114"/>
      <c r="O176" s="114"/>
      <c r="P176" s="738"/>
      <c r="Q176" s="754"/>
    </row>
    <row r="177" spans="1:17">
      <c r="A177" s="735"/>
      <c r="B177" s="417"/>
      <c r="C177" s="417"/>
      <c r="D177" s="417"/>
      <c r="E177" s="738"/>
      <c r="F177" s="738"/>
      <c r="G177" s="777" t="s">
        <v>163</v>
      </c>
      <c r="H177" s="778">
        <f>C76</f>
        <v>96921.670359374999</v>
      </c>
      <c r="I177" s="738"/>
      <c r="J177" s="737"/>
      <c r="K177" s="737"/>
      <c r="L177" s="114"/>
      <c r="M177" s="114"/>
      <c r="N177" s="114"/>
      <c r="O177" s="114"/>
      <c r="P177" s="738"/>
      <c r="Q177" s="754"/>
    </row>
    <row r="178" spans="1:17">
      <c r="A178" s="735"/>
      <c r="B178" s="417"/>
      <c r="C178" s="417"/>
      <c r="D178" s="417"/>
      <c r="E178" s="738"/>
      <c r="F178" s="738"/>
      <c r="G178" s="776" t="s">
        <v>159</v>
      </c>
      <c r="H178" s="778">
        <f>C69</f>
        <v>75617.518437499995</v>
      </c>
      <c r="I178" s="738"/>
      <c r="J178" s="737"/>
      <c r="K178" s="737"/>
      <c r="L178" s="114"/>
      <c r="M178" s="114"/>
      <c r="N178" s="114"/>
      <c r="O178" s="114"/>
      <c r="P178" s="738"/>
      <c r="Q178" s="754"/>
    </row>
    <row r="179" spans="1:17">
      <c r="A179" s="735"/>
      <c r="B179" s="417"/>
      <c r="C179" s="417"/>
      <c r="D179" s="417"/>
      <c r="E179" s="738"/>
      <c r="F179" s="738"/>
      <c r="G179" s="776" t="s">
        <v>160</v>
      </c>
      <c r="H179" s="778">
        <f>C75</f>
        <v>21304.151921875</v>
      </c>
      <c r="I179" s="738"/>
      <c r="J179" s="737"/>
      <c r="K179" s="737"/>
      <c r="L179" s="114"/>
      <c r="M179" s="114"/>
      <c r="N179" s="114"/>
      <c r="O179" s="114"/>
      <c r="P179" s="738"/>
      <c r="Q179" s="754"/>
    </row>
    <row r="180" spans="1:17">
      <c r="A180" s="735"/>
      <c r="B180" s="417"/>
      <c r="C180" s="417"/>
      <c r="D180" s="417"/>
      <c r="E180" s="738"/>
      <c r="F180" s="738"/>
      <c r="G180" s="777" t="s">
        <v>161</v>
      </c>
      <c r="H180" s="778">
        <f>C83</f>
        <v>68355</v>
      </c>
      <c r="I180" s="738"/>
      <c r="J180" s="737"/>
      <c r="K180" s="737"/>
      <c r="L180" s="114"/>
      <c r="M180" s="114"/>
      <c r="N180" s="114"/>
      <c r="O180" s="114"/>
      <c r="P180" s="738"/>
      <c r="Q180" s="754"/>
    </row>
    <row r="181" spans="1:17">
      <c r="A181" s="735"/>
      <c r="B181" s="417"/>
      <c r="C181" s="417"/>
      <c r="D181" s="417"/>
      <c r="E181" s="738"/>
      <c r="F181" s="738"/>
      <c r="G181" s="776" t="str">
        <f>B79</f>
        <v>CACFP</v>
      </c>
      <c r="H181" s="778">
        <f>C79</f>
        <v>4992</v>
      </c>
      <c r="I181" s="738"/>
      <c r="J181" s="737"/>
      <c r="K181" s="737"/>
      <c r="L181" s="114"/>
      <c r="M181" s="114"/>
      <c r="N181" s="114"/>
      <c r="O181" s="114"/>
      <c r="P181" s="738"/>
      <c r="Q181" s="754"/>
    </row>
    <row r="182" spans="1:17">
      <c r="A182" s="735"/>
      <c r="B182" s="737"/>
      <c r="C182" s="737"/>
      <c r="D182" s="737"/>
      <c r="E182" s="738"/>
      <c r="F182" s="738"/>
      <c r="G182" s="776" t="str">
        <f t="shared" ref="G182:G184" si="9">B80</f>
        <v>Subsidio</v>
      </c>
      <c r="H182" s="778">
        <f t="shared" ref="H182:H184" si="10">C80</f>
        <v>38363</v>
      </c>
      <c r="I182" s="738"/>
      <c r="J182" s="737"/>
      <c r="K182" s="737"/>
      <c r="L182" s="114"/>
      <c r="M182" s="114"/>
      <c r="N182" s="114"/>
      <c r="O182" s="114"/>
      <c r="P182" s="738"/>
      <c r="Q182" s="754"/>
    </row>
    <row r="183" spans="1:17">
      <c r="A183" s="735"/>
      <c r="B183" s="737"/>
      <c r="C183" s="737"/>
      <c r="D183" s="737"/>
      <c r="E183" s="738"/>
      <c r="F183" s="738"/>
      <c r="G183" s="776" t="str">
        <f t="shared" si="9"/>
        <v>Matrícula</v>
      </c>
      <c r="H183" s="778">
        <f t="shared" si="10"/>
        <v>0</v>
      </c>
      <c r="I183" s="738"/>
      <c r="J183" s="737"/>
      <c r="K183" s="737"/>
      <c r="L183" s="114"/>
      <c r="M183" s="114"/>
      <c r="N183" s="114"/>
      <c r="O183" s="114"/>
      <c r="P183" s="738"/>
      <c r="Q183" s="754"/>
    </row>
    <row r="184" spans="1:17">
      <c r="A184" s="735"/>
      <c r="B184" s="737"/>
      <c r="C184" s="737"/>
      <c r="D184" s="737"/>
      <c r="E184" s="738"/>
      <c r="F184" s="738"/>
      <c r="G184" s="776" t="str">
        <f t="shared" si="9"/>
        <v>Otro ingresos</v>
      </c>
      <c r="H184" s="778">
        <f t="shared" si="10"/>
        <v>25000</v>
      </c>
      <c r="I184" s="738"/>
      <c r="J184" s="737"/>
      <c r="K184" s="737"/>
      <c r="L184" s="114"/>
      <c r="M184" s="114"/>
      <c r="N184" s="114"/>
      <c r="O184" s="114"/>
      <c r="P184" s="738"/>
      <c r="Q184" s="754"/>
    </row>
    <row r="185" spans="1:17">
      <c r="A185" s="735"/>
      <c r="B185" s="737"/>
      <c r="C185" s="737"/>
      <c r="D185" s="737"/>
      <c r="E185" s="738"/>
      <c r="F185" s="738"/>
      <c r="G185" s="776" t="s">
        <v>162</v>
      </c>
      <c r="H185" s="778">
        <f>C85</f>
        <v>-2991.4950000000017</v>
      </c>
      <c r="I185" s="738"/>
      <c r="J185" s="737"/>
      <c r="K185" s="737"/>
      <c r="L185" s="114"/>
      <c r="M185" s="114"/>
      <c r="N185" s="114"/>
      <c r="O185" s="114"/>
      <c r="P185" s="738"/>
      <c r="Q185" s="754"/>
    </row>
    <row r="186" spans="1:17">
      <c r="A186" s="735"/>
      <c r="B186" s="737"/>
      <c r="C186" s="737"/>
      <c r="D186" s="737"/>
      <c r="E186" s="738"/>
      <c r="F186" s="738"/>
      <c r="G186" s="776"/>
      <c r="H186" s="776"/>
      <c r="I186" s="738"/>
      <c r="J186" s="737"/>
      <c r="K186" s="737"/>
      <c r="L186" s="114"/>
      <c r="M186" s="114"/>
      <c r="N186" s="114"/>
      <c r="O186" s="114"/>
      <c r="P186" s="738"/>
      <c r="Q186" s="754"/>
    </row>
    <row r="187" spans="1:17">
      <c r="A187" s="735"/>
      <c r="B187" s="737"/>
      <c r="C187" s="737"/>
      <c r="D187" s="737"/>
      <c r="E187" s="738"/>
      <c r="F187" s="738"/>
      <c r="G187" s="776"/>
      <c r="H187" s="776"/>
      <c r="I187" s="738"/>
      <c r="J187" s="737"/>
      <c r="K187" s="737"/>
      <c r="L187" s="114"/>
      <c r="M187" s="114"/>
      <c r="N187" s="114"/>
      <c r="O187" s="114"/>
      <c r="P187" s="738"/>
      <c r="Q187" s="754"/>
    </row>
    <row r="188" spans="1:17">
      <c r="A188" s="735"/>
      <c r="B188" s="737"/>
      <c r="C188" s="737"/>
      <c r="D188" s="737"/>
      <c r="E188" s="738"/>
      <c r="F188" s="738"/>
      <c r="G188" s="776" t="s">
        <v>163</v>
      </c>
      <c r="H188" s="776" t="s">
        <v>164</v>
      </c>
      <c r="I188" s="738"/>
      <c r="J188" s="737"/>
      <c r="K188" s="737"/>
      <c r="L188" s="114"/>
      <c r="M188" s="114"/>
      <c r="N188" s="114"/>
      <c r="O188" s="114"/>
      <c r="P188" s="738"/>
      <c r="Q188" s="754"/>
    </row>
    <row r="189" spans="1:17">
      <c r="A189" s="735"/>
      <c r="B189" s="737"/>
      <c r="C189" s="737"/>
      <c r="D189" s="737"/>
      <c r="E189" s="738"/>
      <c r="F189" s="738"/>
      <c r="G189" s="778">
        <f>H177</f>
        <v>96921.670359374999</v>
      </c>
      <c r="H189" s="778">
        <f>SUM(H180,H185)</f>
        <v>65363.504999999997</v>
      </c>
      <c r="I189" s="738"/>
      <c r="J189" s="737"/>
      <c r="K189" s="737"/>
      <c r="L189" s="114"/>
      <c r="M189" s="114"/>
      <c r="N189" s="114"/>
      <c r="O189" s="114"/>
      <c r="P189" s="738"/>
      <c r="Q189" s="754"/>
    </row>
    <row r="190" spans="1:17">
      <c r="A190" s="735"/>
      <c r="B190" s="737"/>
      <c r="C190" s="737"/>
      <c r="D190" s="737"/>
      <c r="E190" s="738"/>
      <c r="F190" s="738"/>
      <c r="G190" s="738"/>
      <c r="H190" s="738"/>
      <c r="I190" s="738"/>
      <c r="J190" s="737"/>
      <c r="K190" s="737"/>
      <c r="L190" s="114"/>
      <c r="M190" s="114"/>
      <c r="N190" s="114"/>
      <c r="O190" s="114"/>
      <c r="P190" s="738"/>
      <c r="Q190" s="754"/>
    </row>
    <row r="191" spans="1:17">
      <c r="A191" s="735"/>
      <c r="B191" s="737"/>
      <c r="C191" s="737"/>
      <c r="D191" s="737"/>
      <c r="E191" s="737"/>
      <c r="F191" s="737"/>
      <c r="G191" s="737"/>
      <c r="H191" s="737"/>
      <c r="I191" s="737"/>
      <c r="J191" s="737"/>
      <c r="K191" s="737"/>
      <c r="L191" s="114"/>
      <c r="M191" s="114"/>
      <c r="N191" s="114"/>
      <c r="O191" s="114"/>
      <c r="P191" s="738"/>
      <c r="Q191" s="754"/>
    </row>
    <row r="192" spans="1:17">
      <c r="A192" s="735"/>
      <c r="B192" s="737"/>
      <c r="C192" s="737"/>
      <c r="D192" s="737"/>
      <c r="E192" s="737"/>
      <c r="F192" s="737"/>
      <c r="G192" s="737"/>
      <c r="H192" s="737"/>
      <c r="I192" s="737"/>
      <c r="J192" s="737"/>
      <c r="K192" s="737"/>
      <c r="L192" s="114"/>
      <c r="M192" s="114"/>
      <c r="N192" s="114"/>
      <c r="O192" s="114"/>
      <c r="P192" s="738"/>
      <c r="Q192" s="754"/>
    </row>
    <row r="193" spans="1:17">
      <c r="A193" s="735"/>
      <c r="B193" s="737"/>
      <c r="C193" s="737"/>
      <c r="D193" s="737"/>
      <c r="E193" s="737"/>
      <c r="F193" s="737"/>
      <c r="G193" s="737"/>
      <c r="H193" s="737"/>
      <c r="I193" s="737"/>
      <c r="J193" s="737"/>
      <c r="K193" s="737"/>
      <c r="L193" s="114"/>
      <c r="M193" s="114"/>
      <c r="N193" s="114"/>
      <c r="O193" s="114"/>
      <c r="P193" s="738"/>
      <c r="Q193" s="754"/>
    </row>
    <row r="194" spans="1:17">
      <c r="A194" s="735"/>
      <c r="B194" s="737"/>
      <c r="C194" s="737"/>
      <c r="D194" s="737"/>
      <c r="E194" s="737"/>
      <c r="F194" s="737"/>
      <c r="G194" s="737"/>
      <c r="H194" s="737"/>
      <c r="I194" s="737"/>
      <c r="J194" s="737"/>
      <c r="K194" s="737"/>
      <c r="L194" s="114"/>
      <c r="M194" s="114"/>
      <c r="N194" s="114"/>
      <c r="O194" s="114"/>
      <c r="P194" s="738"/>
      <c r="Q194" s="754"/>
    </row>
    <row r="195" spans="1:17">
      <c r="A195" s="735"/>
      <c r="B195" s="737"/>
      <c r="C195" s="737"/>
      <c r="D195" s="737"/>
      <c r="E195" s="737"/>
      <c r="F195" s="737"/>
      <c r="G195" s="737"/>
      <c r="H195" s="737"/>
      <c r="I195" s="737"/>
      <c r="J195" s="737"/>
      <c r="K195" s="737"/>
      <c r="L195" s="114"/>
      <c r="M195" s="114"/>
      <c r="N195" s="114"/>
      <c r="O195" s="114"/>
      <c r="P195" s="738"/>
      <c r="Q195" s="754"/>
    </row>
    <row r="196" spans="1:17">
      <c r="A196" s="735"/>
      <c r="B196" s="737"/>
      <c r="C196" s="737"/>
      <c r="D196" s="737"/>
      <c r="E196" s="737"/>
      <c r="F196" s="737"/>
      <c r="G196" s="737"/>
      <c r="H196" s="737"/>
      <c r="I196" s="737"/>
      <c r="J196" s="737"/>
      <c r="K196" s="737"/>
      <c r="L196" s="114"/>
      <c r="M196" s="114"/>
      <c r="N196" s="114"/>
      <c r="O196" s="114"/>
      <c r="P196" s="738"/>
      <c r="Q196" s="754"/>
    </row>
    <row r="197" spans="1:17">
      <c r="A197" s="735"/>
      <c r="B197" s="737"/>
      <c r="C197" s="737"/>
      <c r="D197" s="737"/>
      <c r="E197" s="737"/>
      <c r="F197" s="737"/>
      <c r="G197" s="737"/>
      <c r="H197" s="737"/>
      <c r="I197" s="737"/>
      <c r="J197" s="737"/>
      <c r="K197" s="737"/>
      <c r="L197" s="114"/>
      <c r="M197" s="114"/>
      <c r="N197" s="114"/>
      <c r="O197" s="114"/>
      <c r="P197" s="738"/>
      <c r="Q197" s="754"/>
    </row>
    <row r="198" spans="1:17">
      <c r="A198" s="735"/>
      <c r="B198" s="737"/>
      <c r="C198" s="737"/>
      <c r="D198" s="737"/>
      <c r="E198" s="737"/>
      <c r="F198" s="737"/>
      <c r="G198" s="737"/>
      <c r="H198" s="737"/>
      <c r="I198" s="737"/>
      <c r="J198" s="737"/>
      <c r="K198" s="737"/>
      <c r="L198" s="114"/>
      <c r="M198" s="114"/>
      <c r="N198" s="114"/>
      <c r="O198" s="114"/>
      <c r="P198" s="738"/>
      <c r="Q198" s="754"/>
    </row>
    <row r="199" spans="1:17">
      <c r="A199" s="735"/>
      <c r="B199" s="737"/>
      <c r="C199" s="737"/>
      <c r="D199" s="737"/>
      <c r="E199" s="737"/>
      <c r="F199" s="737"/>
      <c r="G199" s="737"/>
      <c r="H199" s="737"/>
      <c r="I199" s="737"/>
      <c r="J199" s="737"/>
      <c r="K199" s="737"/>
      <c r="L199" s="114"/>
      <c r="M199" s="114"/>
      <c r="N199" s="114"/>
      <c r="O199" s="114"/>
      <c r="P199" s="738"/>
      <c r="Q199" s="754"/>
    </row>
    <row r="200" spans="1:17">
      <c r="A200" s="735"/>
      <c r="B200" s="737"/>
      <c r="C200" s="737"/>
      <c r="D200" s="737"/>
      <c r="E200" s="737"/>
      <c r="F200" s="737"/>
      <c r="G200" s="737"/>
      <c r="H200" s="737"/>
      <c r="I200" s="737"/>
      <c r="J200" s="737"/>
      <c r="K200" s="737"/>
      <c r="L200" s="114"/>
      <c r="M200" s="114"/>
      <c r="N200" s="114"/>
      <c r="O200" s="114"/>
      <c r="P200" s="738"/>
      <c r="Q200" s="754"/>
    </row>
    <row r="201" spans="1:17">
      <c r="A201" s="735"/>
      <c r="B201" s="737"/>
      <c r="C201" s="737"/>
      <c r="D201" s="737"/>
      <c r="E201" s="737"/>
      <c r="F201" s="737"/>
      <c r="G201" s="737"/>
      <c r="H201" s="737"/>
      <c r="I201" s="737"/>
      <c r="J201" s="737"/>
      <c r="K201" s="737"/>
      <c r="L201" s="114"/>
      <c r="M201" s="114"/>
      <c r="N201" s="114"/>
      <c r="O201" s="114"/>
      <c r="P201" s="738"/>
      <c r="Q201" s="754"/>
    </row>
    <row r="202" spans="1:17" ht="14.1" thickBot="1">
      <c r="A202" s="742"/>
      <c r="B202" s="743"/>
      <c r="C202" s="743"/>
      <c r="D202" s="743"/>
      <c r="E202" s="743"/>
      <c r="F202" s="743"/>
      <c r="G202" s="743"/>
      <c r="H202" s="743"/>
      <c r="I202" s="743"/>
      <c r="J202" s="743"/>
      <c r="K202" s="743"/>
      <c r="L202" s="788"/>
      <c r="M202" s="788"/>
      <c r="N202" s="788"/>
      <c r="O202" s="788"/>
      <c r="P202" s="744"/>
      <c r="Q202" s="755"/>
    </row>
    <row r="203" spans="1:17">
      <c r="A203"/>
      <c r="B203"/>
      <c r="C203"/>
      <c r="D203"/>
      <c r="E203"/>
      <c r="F203"/>
      <c r="G203"/>
      <c r="H203"/>
      <c r="I203"/>
      <c r="J203"/>
      <c r="K203"/>
      <c r="L203" s="114"/>
      <c r="M203" s="114"/>
      <c r="N203" s="114"/>
      <c r="O203" s="114"/>
      <c r="P203" s="733"/>
      <c r="Q203" s="733"/>
    </row>
    <row r="204" spans="1:17">
      <c r="A204"/>
      <c r="B204"/>
      <c r="C204"/>
      <c r="D204"/>
      <c r="E204"/>
      <c r="F204"/>
      <c r="G204"/>
      <c r="H204"/>
      <c r="I204"/>
      <c r="J204"/>
      <c r="K204"/>
      <c r="L204" s="114"/>
      <c r="M204" s="114"/>
      <c r="N204" s="114"/>
      <c r="O204" s="114"/>
      <c r="P204" s="733"/>
      <c r="Q204" s="733"/>
    </row>
    <row r="205" spans="1:17">
      <c r="A205"/>
      <c r="B205"/>
      <c r="C205"/>
      <c r="D205"/>
      <c r="E205"/>
      <c r="F205"/>
      <c r="G205"/>
      <c r="H205"/>
      <c r="I205"/>
      <c r="J205"/>
      <c r="K205"/>
      <c r="L205" s="114"/>
      <c r="M205" s="114"/>
      <c r="N205" s="114"/>
      <c r="O205" s="114"/>
      <c r="P205" s="733"/>
      <c r="Q205" s="733"/>
    </row>
  </sheetData>
  <sheetProtection algorithmName="SHA-512" hashValue="Suov2D4SZly7po/yzmHgWttYbzx56MjGq0lQxevPmx3SXy0tPTpWsgCMMsBtFdYmQbpqBL8Agg9ZHzWRuinlBA==" saltValue="HLQwz4jwxSr3gOpCnFGhvg==" spinCount="100000" sheet="1" objects="1" scenarios="1"/>
  <mergeCells count="25">
    <mergeCell ref="B31:C31"/>
    <mergeCell ref="D31:E31"/>
    <mergeCell ref="D32:E32"/>
    <mergeCell ref="B33:C33"/>
    <mergeCell ref="D33:E33"/>
    <mergeCell ref="F10:K12"/>
    <mergeCell ref="F15:K16"/>
    <mergeCell ref="F17:K17"/>
    <mergeCell ref="B30:C30"/>
    <mergeCell ref="D30:E30"/>
    <mergeCell ref="E20:F21"/>
    <mergeCell ref="C156:C161"/>
    <mergeCell ref="D156:D161"/>
    <mergeCell ref="E156:E161"/>
    <mergeCell ref="B34:C34"/>
    <mergeCell ref="D34:E34"/>
    <mergeCell ref="B84:B85"/>
    <mergeCell ref="B87:B88"/>
    <mergeCell ref="C87:C88"/>
    <mergeCell ref="B35:C35"/>
    <mergeCell ref="D35:E35"/>
    <mergeCell ref="B36:C36"/>
    <mergeCell ref="D36:E36"/>
    <mergeCell ref="B37:C37"/>
    <mergeCell ref="D37:E37"/>
  </mergeCells>
  <conditionalFormatting sqref="C87 C89">
    <cfRule type="cellIs" dxfId="2" priority="1" operator="lessThan">
      <formula>0</formula>
    </cfRule>
  </conditionalFormatting>
  <dataValidations count="13">
    <dataValidation type="list" allowBlank="1" showInputMessage="1" showErrorMessage="1" sqref="C57" xr:uid="{0650F343-B930-0042-8B2F-6D27D614A0B9}">
      <formula1>$L$46:$O$46</formula1>
    </dataValidation>
    <dataValidation type="list" allowBlank="1" showInputMessage="1" showErrorMessage="1" sqref="C7" xr:uid="{32A56869-4C18-9C40-A5C1-B5F0F40CD906}">
      <formula1>$E$7:$G$7</formula1>
    </dataValidation>
    <dataValidation type="list" allowBlank="1" showInputMessage="1" showErrorMessage="1" sqref="C24" xr:uid="{6438A68F-C992-1741-A8E9-C88E306BCA36}">
      <formula1>$L$27:$M$27</formula1>
    </dataValidation>
    <dataValidation type="list" allowBlank="1" showInputMessage="1" showErrorMessage="1" sqref="D31:E31" xr:uid="{AB6D6EA8-EBC6-6245-9E7D-18F6B7FF73BB}">
      <formula1>$L$31:$N$31</formula1>
    </dataValidation>
    <dataValidation type="list" allowBlank="1" showInputMessage="1" showErrorMessage="1" sqref="D35:E35" xr:uid="{5059193A-9CFD-DD42-8D78-150D7C790017}">
      <formula1>$L$35:$O$35</formula1>
    </dataValidation>
    <dataValidation allowBlank="1" showInputMessage="1" showErrorMessage="1" promptTitle="Enter number of days " prompt="Enter number of days paid leave offered to staff per year (not including holidays where program is closed)" sqref="C36:C37 C29:C32 B33 B35 C34" xr:uid="{FAD8B15A-C2A9-D241-A653-A027BD0D7608}"/>
    <dataValidation type="list" allowBlank="1" showInputMessage="1" showErrorMessage="1" sqref="D32:E32" xr:uid="{CEA0ABF7-9ADB-B246-A8A7-6B2F001D16DC}">
      <formula1>$L$32:$N$32</formula1>
    </dataValidation>
    <dataValidation type="list" allowBlank="1" showInputMessage="1" showErrorMessage="1" sqref="D36:E36" xr:uid="{1B3141B3-869A-5840-AE0D-585C8924A20C}">
      <formula1>$L$36:$O$36</formula1>
    </dataValidation>
    <dataValidation type="list" allowBlank="1" showInputMessage="1" showErrorMessage="1" sqref="D33:E33" xr:uid="{A6EE62F4-A917-E443-85B4-431494736A60}">
      <formula1>$L$33:$O$33</formula1>
    </dataValidation>
    <dataValidation type="list" allowBlank="1" showInputMessage="1" showErrorMessage="1" sqref="D37:E37" xr:uid="{FCBD1A2F-EDEE-1541-B879-2956525FCFA1}">
      <formula1>$L$37:$N$37</formula1>
    </dataValidation>
    <dataValidation type="list" allowBlank="1" showInputMessage="1" showErrorMessage="1" sqref="D34:E34" xr:uid="{72370015-85BC-4C47-AC83-BE04AD0F9F9B}">
      <formula1>$L$34:$O$34</formula1>
    </dataValidation>
    <dataValidation type="list" allowBlank="1" showInputMessage="1" showErrorMessage="1" sqref="C58" xr:uid="{0DEF5D2C-1A38-C24E-AF9B-78D56D8CAB31}">
      <formula1>$D$59:$G$59</formula1>
    </dataValidation>
    <dataValidation type="list" allowBlank="1" showInputMessage="1" showErrorMessage="1" sqref="C20" xr:uid="{F85070C9-4E38-FC46-B2F8-5F7A43B1B385}">
      <formula1>$L$19:$L$22</formula1>
    </dataValidation>
  </dataValidations>
  <pageMargins left="0.25" right="0.25" top="0.25" bottom="0.25" header="0.05" footer="0.05"/>
  <pageSetup scale="46" fitToHeight="4" orientation="landscape" horizontalDpi="4294967293" r:id="rId1"/>
  <headerFooter alignWithMargins="0">
    <oddFooter>&amp;CDRAFT - Not for Distribution</oddFooter>
  </headerFooter>
  <rowBreaks count="2" manualBreakCount="2">
    <brk id="93" max="16" man="1"/>
    <brk id="143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83A9F-A192-CF41-BE6F-1504F3ACC78E}">
  <sheetPr>
    <tabColor theme="6"/>
  </sheetPr>
  <dimension ref="A1:T97"/>
  <sheetViews>
    <sheetView workbookViewId="0"/>
  </sheetViews>
  <sheetFormatPr defaultColWidth="8.85546875" defaultRowHeight="12.95"/>
  <cols>
    <col min="1" max="1" width="7.42578125" style="198" customWidth="1"/>
    <col min="2" max="2" width="44.42578125" style="198" customWidth="1"/>
    <col min="3" max="3" width="12" style="198" customWidth="1"/>
    <col min="4" max="4" width="12.7109375" style="198" customWidth="1"/>
    <col min="5" max="5" width="16.42578125" style="198" customWidth="1"/>
    <col min="6" max="6" width="12" style="198" customWidth="1"/>
    <col min="7" max="7" width="14.28515625" style="198" customWidth="1"/>
    <col min="8" max="8" width="13.140625" style="198" customWidth="1"/>
    <col min="9" max="9" width="14.85546875" style="198" customWidth="1"/>
    <col min="10" max="10" width="18" style="198" customWidth="1"/>
    <col min="11" max="12" width="10.42578125" style="198" customWidth="1"/>
    <col min="13" max="13" width="10" style="198" customWidth="1"/>
    <col min="14" max="14" width="9.42578125" style="198" customWidth="1"/>
    <col min="15" max="15" width="12.85546875" style="198" customWidth="1"/>
    <col min="16" max="16" width="13.140625" style="198" customWidth="1"/>
    <col min="17" max="17" width="8.140625" style="198" customWidth="1"/>
    <col min="18" max="18" width="5.42578125" style="198" customWidth="1"/>
    <col min="19" max="19" width="11.42578125" style="198" customWidth="1"/>
    <col min="20" max="16384" width="8.85546875" style="198"/>
  </cols>
  <sheetData>
    <row r="1" spans="1:20" ht="16.5" customHeight="1">
      <c r="A1" s="199" t="s">
        <v>327</v>
      </c>
      <c r="B1" s="539"/>
      <c r="C1" s="199"/>
      <c r="D1" s="199"/>
      <c r="E1" s="199"/>
      <c r="F1" s="199"/>
      <c r="G1" s="199"/>
    </row>
    <row r="2" spans="1:20">
      <c r="A2" s="488"/>
      <c r="B2" s="488" t="s">
        <v>166</v>
      </c>
      <c r="E2" s="540"/>
      <c r="F2" s="198" t="s">
        <v>167</v>
      </c>
    </row>
    <row r="3" spans="1:20">
      <c r="A3" s="488"/>
      <c r="B3" s="488" t="s">
        <v>168</v>
      </c>
      <c r="E3" s="541"/>
      <c r="F3" s="198" t="s">
        <v>169</v>
      </c>
    </row>
    <row r="4" spans="1:20">
      <c r="A4" s="542" t="s">
        <v>328</v>
      </c>
      <c r="B4" s="543"/>
      <c r="C4" s="543"/>
      <c r="D4" s="543"/>
      <c r="E4" s="543"/>
      <c r="F4" s="543"/>
      <c r="G4" s="543"/>
      <c r="H4" s="470"/>
      <c r="I4" s="470"/>
    </row>
    <row r="5" spans="1:20">
      <c r="K5" s="544"/>
      <c r="L5" s="544"/>
      <c r="M5" s="544"/>
      <c r="N5" s="544"/>
      <c r="O5" s="544"/>
      <c r="P5" s="488"/>
    </row>
    <row r="6" spans="1:20" ht="25.5" customHeight="1">
      <c r="B6" s="199" t="s">
        <v>171</v>
      </c>
      <c r="C6" s="545" t="s">
        <v>176</v>
      </c>
      <c r="D6" s="199" t="s">
        <v>177</v>
      </c>
      <c r="E6" s="199" t="s">
        <v>329</v>
      </c>
      <c r="G6" s="546" t="s">
        <v>330</v>
      </c>
      <c r="H6" s="547" t="s">
        <v>331</v>
      </c>
      <c r="I6" s="548"/>
      <c r="J6" s="549"/>
      <c r="K6" s="550"/>
      <c r="L6" s="550"/>
      <c r="M6" s="550"/>
      <c r="N6" s="550"/>
      <c r="O6" s="550"/>
      <c r="P6" s="550"/>
    </row>
    <row r="7" spans="1:20" ht="14.1" customHeight="1">
      <c r="A7" s="198">
        <f>'Cuidado infantil familiar'!B11</f>
        <v>1</v>
      </c>
      <c r="B7" s="198" t="str">
        <f>'Cuidado infantil familiar'!C11</f>
        <v>Infantes</v>
      </c>
      <c r="C7" s="551">
        <f>H7</f>
        <v>24230.41758984375</v>
      </c>
      <c r="D7" s="551">
        <f>C7/12</f>
        <v>2019.2014658203125</v>
      </c>
      <c r="E7" s="552">
        <f>C7*A7</f>
        <v>24230.41758984375</v>
      </c>
      <c r="F7" s="553"/>
      <c r="G7" s="554">
        <f>IF(A7&gt;0,$D$66/A$13,0)</f>
        <v>24230.41758984375</v>
      </c>
      <c r="H7" s="555">
        <f>IF(A7&gt;0,SUM(G7,I12),0)</f>
        <v>24230.41758984375</v>
      </c>
      <c r="I7" s="548"/>
      <c r="J7" s="549"/>
      <c r="K7" s="147"/>
      <c r="L7" s="147"/>
      <c r="M7" s="148"/>
      <c r="N7" s="148"/>
      <c r="O7" s="556"/>
      <c r="P7" s="557"/>
      <c r="Q7" s="557"/>
    </row>
    <row r="8" spans="1:20" ht="14.1" customHeight="1">
      <c r="A8" s="198">
        <f>'Cuidado infantil familiar'!B12</f>
        <v>1</v>
      </c>
      <c r="B8" s="198" t="str">
        <f>'Cuidado infantil familiar'!C12</f>
        <v>Niños pequeños</v>
      </c>
      <c r="C8" s="551">
        <f>H8</f>
        <v>24230.41758984375</v>
      </c>
      <c r="D8" s="551">
        <f>C8/12</f>
        <v>2019.2014658203125</v>
      </c>
      <c r="E8" s="552">
        <f>C8*A8</f>
        <v>24230.41758984375</v>
      </c>
      <c r="F8" s="553"/>
      <c r="G8" s="554">
        <f t="shared" ref="G8:G12" si="0">IF(A8&gt;0,$D$66/A$13,0)</f>
        <v>24230.41758984375</v>
      </c>
      <c r="H8" s="555">
        <f>IF(A8&gt;0,SUM(G8,I12),0)</f>
        <v>24230.41758984375</v>
      </c>
      <c r="I8" s="548"/>
      <c r="J8" s="558"/>
      <c r="K8" s="147"/>
      <c r="L8" s="147"/>
      <c r="M8" s="148"/>
      <c r="N8" s="148"/>
      <c r="O8" s="556"/>
      <c r="P8" s="557"/>
      <c r="Q8" s="197"/>
    </row>
    <row r="9" spans="1:20" ht="14.1" customHeight="1">
      <c r="A9" s="198">
        <f>'Cuidado infantil familiar'!B13</f>
        <v>1</v>
      </c>
      <c r="B9" s="198" t="str">
        <f>'Cuidado infantil familiar'!C13</f>
        <v>2 años de edad</v>
      </c>
      <c r="C9" s="551">
        <f t="shared" ref="C9:C12" si="1">H9</f>
        <v>24230.41758984375</v>
      </c>
      <c r="D9" s="551">
        <f t="shared" ref="D9:D12" si="2">C9/12</f>
        <v>2019.2014658203125</v>
      </c>
      <c r="E9" s="552">
        <f t="shared" ref="E9:E12" si="3">C9*A9</f>
        <v>24230.41758984375</v>
      </c>
      <c r="F9" s="553"/>
      <c r="G9" s="554">
        <f t="shared" si="0"/>
        <v>24230.41758984375</v>
      </c>
      <c r="H9" s="555">
        <f>IF(A9&gt;0,SUM(G9,I12),0)</f>
        <v>24230.41758984375</v>
      </c>
      <c r="I9" s="548"/>
      <c r="J9" s="558"/>
      <c r="K9" s="147"/>
      <c r="L9" s="147"/>
      <c r="M9" s="148"/>
      <c r="N9" s="148"/>
      <c r="O9" s="556"/>
      <c r="P9" s="557"/>
      <c r="Q9" s="197"/>
    </row>
    <row r="10" spans="1:20" ht="14.1" customHeight="1">
      <c r="A10" s="198">
        <f>'Cuidado infantil familiar'!B14</f>
        <v>1</v>
      </c>
      <c r="B10" s="198" t="str">
        <f>'Cuidado infantil familiar'!C14</f>
        <v>3 años de edad</v>
      </c>
      <c r="C10" s="551">
        <f t="shared" si="1"/>
        <v>24230.41758984375</v>
      </c>
      <c r="D10" s="551">
        <f t="shared" si="2"/>
        <v>2019.2014658203125</v>
      </c>
      <c r="E10" s="552">
        <f t="shared" si="3"/>
        <v>24230.41758984375</v>
      </c>
      <c r="F10" s="553"/>
      <c r="G10" s="554">
        <f t="shared" si="0"/>
        <v>24230.41758984375</v>
      </c>
      <c r="H10" s="555">
        <f>IF(A10&gt;0,SUM(G10,I12),0)</f>
        <v>24230.41758984375</v>
      </c>
      <c r="I10" s="548"/>
      <c r="J10" s="558"/>
      <c r="K10" s="147"/>
      <c r="L10" s="147"/>
      <c r="M10" s="148"/>
      <c r="N10" s="148"/>
      <c r="O10" s="556"/>
      <c r="P10" s="557"/>
      <c r="Q10" s="197"/>
    </row>
    <row r="11" spans="1:20" ht="14.1" customHeight="1">
      <c r="A11" s="198">
        <f>'Cuidado infantil familiar'!B15</f>
        <v>0</v>
      </c>
      <c r="B11" s="198" t="str">
        <f>'Cuidado infantil familiar'!C15</f>
        <v>4-5 años de edad</v>
      </c>
      <c r="C11" s="551">
        <f t="shared" si="1"/>
        <v>0</v>
      </c>
      <c r="D11" s="551">
        <f t="shared" si="2"/>
        <v>0</v>
      </c>
      <c r="E11" s="552">
        <f t="shared" si="3"/>
        <v>0</v>
      </c>
      <c r="F11" s="553"/>
      <c r="G11" s="554">
        <f t="shared" si="0"/>
        <v>0</v>
      </c>
      <c r="H11" s="555">
        <f>IF(A11&gt;0,SUM(G11,I12),0)</f>
        <v>0</v>
      </c>
      <c r="I11" s="559">
        <f>G12*0.6</f>
        <v>0</v>
      </c>
      <c r="J11" s="560">
        <f>G12*0.4</f>
        <v>0</v>
      </c>
      <c r="K11" s="147">
        <f>J11/4</f>
        <v>0</v>
      </c>
      <c r="L11" s="148"/>
      <c r="M11" s="148"/>
      <c r="N11" s="148"/>
      <c r="O11" s="556"/>
      <c r="P11" s="557"/>
      <c r="Q11" s="197"/>
    </row>
    <row r="12" spans="1:20" ht="14.1" customHeight="1">
      <c r="A12" s="198">
        <f>'Cuidado infantil familiar'!B16</f>
        <v>0</v>
      </c>
      <c r="B12" s="198" t="str">
        <f>'Cuidado infantil familiar'!C16</f>
        <v>Edad escolar</v>
      </c>
      <c r="C12" s="551">
        <f t="shared" si="1"/>
        <v>0</v>
      </c>
      <c r="D12" s="551">
        <f t="shared" si="2"/>
        <v>0</v>
      </c>
      <c r="E12" s="552">
        <f t="shared" si="3"/>
        <v>0</v>
      </c>
      <c r="F12" s="553"/>
      <c r="G12" s="554">
        <f t="shared" si="0"/>
        <v>0</v>
      </c>
      <c r="H12" s="561">
        <f>IF(Schoolagers_FCC&gt;0,SUM(G12*60%,D62/Schoolagers_FCC),0)</f>
        <v>0</v>
      </c>
      <c r="I12" s="562">
        <f>SUM(I13*Schoolagers_FCC)/SUM(A7:A11)</f>
        <v>0</v>
      </c>
      <c r="J12" s="563">
        <f>SUM(G12-I12)*(SUM(A7:A11))</f>
        <v>0</v>
      </c>
      <c r="K12" s="147"/>
      <c r="L12" s="147"/>
      <c r="M12" s="147"/>
      <c r="N12" s="147"/>
      <c r="O12" s="564"/>
      <c r="P12" s="557"/>
      <c r="Q12" s="197"/>
    </row>
    <row r="13" spans="1:20" ht="14.1" customHeight="1">
      <c r="A13" s="565">
        <f>SUM(A7:A12)</f>
        <v>4</v>
      </c>
      <c r="B13" s="218"/>
      <c r="C13" s="218"/>
      <c r="D13" s="218"/>
      <c r="E13" s="566">
        <f>SUM(E7:E12)</f>
        <v>96921.670359374999</v>
      </c>
      <c r="I13" s="562">
        <f>G12-C12</f>
        <v>0</v>
      </c>
      <c r="J13" s="567"/>
      <c r="K13" s="150"/>
      <c r="L13" s="150"/>
      <c r="M13" s="150"/>
      <c r="N13" s="568"/>
      <c r="O13" s="150"/>
      <c r="P13" s="557"/>
      <c r="Q13" s="197"/>
    </row>
    <row r="14" spans="1:20" ht="26.1" customHeight="1">
      <c r="C14" s="198" t="s">
        <v>332</v>
      </c>
      <c r="D14" s="569">
        <v>0</v>
      </c>
      <c r="E14" s="889"/>
      <c r="F14" s="889"/>
      <c r="G14" s="889"/>
      <c r="H14" s="889"/>
      <c r="I14" s="889"/>
      <c r="J14" s="197"/>
      <c r="K14" s="180"/>
      <c r="L14" s="180"/>
      <c r="M14" s="570"/>
      <c r="N14" s="570"/>
      <c r="O14" s="571"/>
      <c r="P14" s="557"/>
      <c r="Q14" s="197"/>
    </row>
    <row r="15" spans="1:20" ht="17.100000000000001">
      <c r="B15" s="572" t="s">
        <v>333</v>
      </c>
      <c r="C15" s="573"/>
      <c r="F15" s="524"/>
      <c r="K15" s="574"/>
      <c r="L15" s="574"/>
      <c r="M15" s="574"/>
      <c r="P15" s="219"/>
      <c r="Q15" s="219"/>
      <c r="R15" s="503"/>
      <c r="S15" s="203"/>
      <c r="T15" s="219"/>
    </row>
    <row r="16" spans="1:20" ht="18" thickBot="1">
      <c r="B16" s="575" t="s">
        <v>334</v>
      </c>
      <c r="C16" s="576"/>
      <c r="D16" s="577"/>
      <c r="E16" s="577"/>
      <c r="F16" s="577"/>
      <c r="G16" s="576"/>
      <c r="K16" s="574"/>
      <c r="L16" s="574"/>
      <c r="M16" s="574"/>
      <c r="P16" s="219"/>
      <c r="R16" s="503"/>
      <c r="S16" s="203"/>
      <c r="T16" s="219"/>
    </row>
    <row r="17" spans="1:20" ht="15.95">
      <c r="B17" s="578"/>
      <c r="C17" s="198" t="s">
        <v>335</v>
      </c>
      <c r="D17" s="579" t="s">
        <v>203</v>
      </c>
      <c r="K17" s="574"/>
      <c r="L17" s="574"/>
      <c r="M17" s="574"/>
      <c r="P17" s="219"/>
      <c r="R17" s="503"/>
      <c r="S17" s="203"/>
      <c r="T17" s="219"/>
    </row>
    <row r="18" spans="1:20" ht="14.1">
      <c r="A18" s="580">
        <v>1</v>
      </c>
      <c r="B18" s="581" t="s">
        <v>336</v>
      </c>
      <c r="C18" s="406">
        <f>IF('Cuidado infantil familiar'!C$20="BLS ($15 MW adj)",Wages!I$4,
IF('Cuidado infantil familiar'!C$20='Cuidado infantil familiar'!L20,Wages!I$5,
IF('Cuidado infantil familiar'!C$20='Cuidado infantil familiar'!L21,Wages!I$6,
IF('Cuidado infantil familiar'!C$20='Cuidado infantil familiar'!L22,Wages!I$7,))))</f>
        <v>65759.375</v>
      </c>
      <c r="D18" s="426">
        <f>C18*A18</f>
        <v>65759.375</v>
      </c>
      <c r="E18" s="582"/>
      <c r="F18" s="583"/>
      <c r="K18" s="574"/>
      <c r="L18" s="574"/>
      <c r="M18" s="574"/>
      <c r="R18" s="503"/>
      <c r="S18" s="203"/>
      <c r="T18" s="219"/>
    </row>
    <row r="19" spans="1:20" ht="15">
      <c r="A19" s="584">
        <f>IF(A7&gt;2,1,0)</f>
        <v>0</v>
      </c>
      <c r="B19" s="581" t="s">
        <v>337</v>
      </c>
      <c r="C19" s="406">
        <f>IF('Cuidado infantil familiar'!C$20="BLS ($15 MW adj)",Wages!J$4,
IF('Cuidado infantil familiar'!C$20='Cuidado infantil familiar'!L20,Wages!J$5,
IF('Cuidado infantil familiar'!C$20='Cuidado infantil familiar'!L21,Wages!J$6,
IF('Cuidado infantil familiar'!C$20='Cuidado infantil familiar'!L22,Wages!J$7,))))</f>
        <v>31200</v>
      </c>
      <c r="D19" s="426">
        <f>C19*A19</f>
        <v>0</v>
      </c>
      <c r="E19" s="582"/>
      <c r="F19" s="583"/>
      <c r="H19" s="285"/>
      <c r="I19" s="585"/>
      <c r="J19" s="285"/>
      <c r="K19" s="285"/>
      <c r="L19" s="285"/>
      <c r="M19" s="285"/>
      <c r="R19" s="503"/>
      <c r="S19" s="203"/>
      <c r="T19" s="219"/>
    </row>
    <row r="20" spans="1:20" ht="15">
      <c r="A20" s="586">
        <f>IF(SUM(A7:A11)&gt;8,1,0)</f>
        <v>0</v>
      </c>
      <c r="B20" s="581" t="s">
        <v>338</v>
      </c>
      <c r="C20" s="406">
        <f>C19</f>
        <v>31200</v>
      </c>
      <c r="D20" s="426">
        <f>A20*C20</f>
        <v>0</v>
      </c>
      <c r="E20" s="582"/>
      <c r="F20" s="583"/>
      <c r="H20" s="285"/>
      <c r="I20" s="585"/>
      <c r="J20" s="285"/>
      <c r="K20" s="285"/>
      <c r="L20" s="285"/>
      <c r="M20" s="285"/>
      <c r="R20" s="503"/>
      <c r="S20" s="203"/>
      <c r="T20" s="219"/>
    </row>
    <row r="21" spans="1:20" ht="15">
      <c r="A21" s="587">
        <f>SUM(A18:A20)</f>
        <v>1</v>
      </c>
      <c r="B21" s="588" t="s">
        <v>339</v>
      </c>
      <c r="C21" s="406"/>
      <c r="D21" s="426"/>
      <c r="E21" s="403"/>
      <c r="F21" s="589"/>
      <c r="H21" s="400"/>
      <c r="I21" s="585"/>
      <c r="J21" s="285"/>
      <c r="K21" s="285"/>
      <c r="L21" s="285"/>
      <c r="M21" s="285"/>
    </row>
    <row r="22" spans="1:20" ht="15">
      <c r="B22" s="590" t="s">
        <v>340</v>
      </c>
      <c r="C22" s="406"/>
      <c r="D22" s="426"/>
      <c r="E22" s="403"/>
      <c r="F22" s="589"/>
      <c r="H22" s="400"/>
      <c r="I22" s="585"/>
      <c r="J22" s="285"/>
      <c r="K22" s="285"/>
      <c r="L22" s="285"/>
      <c r="M22" s="285"/>
    </row>
    <row r="23" spans="1:20" ht="15">
      <c r="A23" s="591">
        <f>SUM(A18:A20)*D14*2080</f>
        <v>0</v>
      </c>
      <c r="B23" s="581" t="s">
        <v>341</v>
      </c>
      <c r="C23" s="406">
        <f>C19/2080</f>
        <v>15</v>
      </c>
      <c r="D23" s="426">
        <f>(C23*A23)</f>
        <v>0</v>
      </c>
      <c r="E23" s="582"/>
      <c r="F23" s="583"/>
      <c r="H23" s="285"/>
      <c r="I23" s="585"/>
      <c r="J23" s="285"/>
      <c r="K23" s="285"/>
      <c r="L23" s="285"/>
      <c r="M23" s="285"/>
    </row>
    <row r="24" spans="1:20" ht="15" hidden="1">
      <c r="A24" s="591"/>
      <c r="B24" s="581" t="s">
        <v>342</v>
      </c>
      <c r="C24" s="406">
        <f>C18/2080</f>
        <v>31.615084134615383</v>
      </c>
      <c r="D24" s="426">
        <f>(C24*A24)</f>
        <v>0</v>
      </c>
      <c r="E24" s="582"/>
      <c r="F24" s="583"/>
      <c r="H24" s="285"/>
      <c r="I24" s="585"/>
      <c r="J24" s="285"/>
      <c r="K24" s="285"/>
      <c r="L24" s="285"/>
      <c r="M24" s="285"/>
    </row>
    <row r="25" spans="1:20" ht="14.1">
      <c r="A25" s="592">
        <f>SUM(A23:A24)</f>
        <v>0</v>
      </c>
      <c r="B25" s="588" t="s">
        <v>343</v>
      </c>
    </row>
    <row r="26" spans="1:20" ht="15">
      <c r="B26" s="593" t="s">
        <v>344</v>
      </c>
      <c r="C26" s="218"/>
      <c r="D26" s="594">
        <f>SUM(D18:D24)</f>
        <v>65759.375</v>
      </c>
      <c r="I26" s="585"/>
    </row>
    <row r="27" spans="1:20">
      <c r="A27" s="595"/>
      <c r="C27" s="503"/>
      <c r="D27" s="203"/>
      <c r="E27" s="202"/>
      <c r="F27" s="91"/>
      <c r="G27" s="574"/>
    </row>
    <row r="28" spans="1:20" ht="14.1">
      <c r="A28" s="595"/>
      <c r="B28" s="581" t="s">
        <v>345</v>
      </c>
      <c r="C28" s="541">
        <f>Paid_Leave_FCC</f>
        <v>10</v>
      </c>
      <c r="D28" s="203">
        <f>C28*8*E31*A21</f>
        <v>1200</v>
      </c>
      <c r="E28" s="202"/>
      <c r="F28" s="91"/>
      <c r="G28" s="574"/>
    </row>
    <row r="29" spans="1:20" ht="14.1">
      <c r="A29" s="595"/>
      <c r="B29" s="581" t="s">
        <v>346</v>
      </c>
      <c r="C29" s="541">
        <f>Sick_Days_FCC</f>
        <v>10</v>
      </c>
      <c r="D29" s="203">
        <f>C29*8*E31*A21</f>
        <v>1200</v>
      </c>
      <c r="E29" s="202"/>
      <c r="F29" s="91"/>
      <c r="G29" s="574"/>
    </row>
    <row r="30" spans="1:20" ht="14.1">
      <c r="A30" s="595"/>
      <c r="B30" s="596" t="s">
        <v>347</v>
      </c>
      <c r="C30" s="541">
        <v>12</v>
      </c>
      <c r="D30" s="203">
        <f>C30*A21*E31</f>
        <v>180</v>
      </c>
      <c r="E30" s="202"/>
      <c r="F30" s="91"/>
      <c r="G30" s="574"/>
    </row>
    <row r="31" spans="1:20" ht="14.1">
      <c r="A31" s="595"/>
      <c r="B31" s="597" t="s">
        <v>219</v>
      </c>
      <c r="C31" s="503"/>
      <c r="D31" s="598">
        <f>SUM(D28:D30)</f>
        <v>2580</v>
      </c>
      <c r="E31" s="202">
        <f>C19/2080</f>
        <v>15</v>
      </c>
      <c r="F31" s="91" t="s">
        <v>348</v>
      </c>
      <c r="G31" s="574"/>
    </row>
    <row r="32" spans="1:20" ht="14.1">
      <c r="A32" s="595"/>
      <c r="B32" s="599" t="s">
        <v>349</v>
      </c>
      <c r="C32" s="600"/>
      <c r="D32" s="594">
        <f>SUM(D26,D31)</f>
        <v>68339.375</v>
      </c>
      <c r="E32" s="202"/>
      <c r="F32" s="91"/>
      <c r="G32" s="574"/>
    </row>
    <row r="33" spans="1:16">
      <c r="A33" s="595"/>
      <c r="C33" s="503"/>
      <c r="D33" s="203"/>
      <c r="E33" s="202"/>
      <c r="F33" s="91"/>
      <c r="G33" s="574"/>
    </row>
    <row r="34" spans="1:16" ht="15">
      <c r="B34" s="545" t="s">
        <v>350</v>
      </c>
      <c r="C34" s="601"/>
      <c r="E34" s="322"/>
      <c r="H34" s="285"/>
      <c r="I34" s="285"/>
      <c r="J34" s="285"/>
      <c r="K34" s="285"/>
      <c r="L34" s="285"/>
      <c r="M34" s="285"/>
      <c r="N34" s="285"/>
      <c r="O34" s="285"/>
      <c r="P34" s="285"/>
    </row>
    <row r="35" spans="1:16" ht="15">
      <c r="B35" s="581" t="s">
        <v>223</v>
      </c>
      <c r="C35" s="602">
        <v>6.2E-2</v>
      </c>
      <c r="D35" s="603">
        <f>SUM(D$32*C35)</f>
        <v>4237.0412500000002</v>
      </c>
      <c r="F35" s="199"/>
      <c r="G35" s="320"/>
      <c r="H35" s="285"/>
      <c r="I35" s="285"/>
      <c r="J35" s="285"/>
      <c r="K35" s="285"/>
      <c r="L35" s="285"/>
      <c r="M35" s="285"/>
      <c r="N35" s="285"/>
      <c r="O35" s="285"/>
      <c r="P35" s="285"/>
    </row>
    <row r="36" spans="1:16" ht="15">
      <c r="B36" s="581" t="s">
        <v>224</v>
      </c>
      <c r="C36" s="602">
        <v>1.4500000000000001E-2</v>
      </c>
      <c r="D36" s="603">
        <f>SUM(D$32*C36)</f>
        <v>990.92093750000004</v>
      </c>
      <c r="F36" s="593"/>
      <c r="G36" s="562"/>
      <c r="H36" s="285"/>
      <c r="I36" s="285"/>
      <c r="J36" s="285"/>
      <c r="K36" s="285"/>
      <c r="L36" s="285"/>
      <c r="M36" s="285"/>
      <c r="N36" s="285"/>
      <c r="O36" s="285"/>
      <c r="P36" s="285"/>
    </row>
    <row r="37" spans="1:16" ht="15">
      <c r="B37" s="581" t="s">
        <v>351</v>
      </c>
      <c r="C37" s="604">
        <v>0.01</v>
      </c>
      <c r="D37" s="603">
        <f t="shared" ref="D37" si="4">SUM(D$32*C37)</f>
        <v>683.39375000000007</v>
      </c>
      <c r="F37" s="605"/>
      <c r="G37" s="322"/>
      <c r="H37" s="285"/>
      <c r="I37" s="285"/>
      <c r="J37" s="285"/>
      <c r="K37" s="285"/>
      <c r="L37" s="285"/>
      <c r="M37" s="285"/>
      <c r="N37" s="285"/>
      <c r="O37" s="285"/>
      <c r="P37" s="285"/>
    </row>
    <row r="38" spans="1:16" ht="15">
      <c r="B38" s="581" t="s">
        <v>226</v>
      </c>
      <c r="C38" s="604">
        <v>0.02</v>
      </c>
      <c r="D38" s="603">
        <f>SUM(D$32*C38)</f>
        <v>1366.7875000000001</v>
      </c>
      <c r="F38" s="593"/>
      <c r="G38" s="322"/>
      <c r="H38" s="285"/>
      <c r="I38" s="285"/>
      <c r="J38" s="285"/>
      <c r="K38" s="285"/>
      <c r="L38" s="285"/>
      <c r="M38" s="285"/>
      <c r="N38" s="285"/>
      <c r="O38" s="285"/>
      <c r="P38" s="285"/>
    </row>
    <row r="39" spans="1:16" ht="14.1">
      <c r="B39" s="606" t="s">
        <v>227</v>
      </c>
      <c r="C39" s="607">
        <f>SUM(C35:C38)</f>
        <v>0.1065</v>
      </c>
      <c r="D39" s="608">
        <f>SUM(D35:D38)</f>
        <v>7278.1434375000008</v>
      </c>
      <c r="G39" s="322"/>
    </row>
    <row r="40" spans="1:16" ht="17.100000000000001" customHeight="1">
      <c r="B40" s="593"/>
    </row>
    <row r="41" spans="1:16" ht="14.1">
      <c r="B41" s="545" t="s">
        <v>228</v>
      </c>
      <c r="C41" s="609" t="s">
        <v>352</v>
      </c>
      <c r="F41" s="593"/>
      <c r="G41" s="322"/>
    </row>
    <row r="42" spans="1:16" ht="14.1">
      <c r="B42" s="596" t="s">
        <v>353</v>
      </c>
      <c r="C42" s="322">
        <f>IF('Cuidado infantil familiar'!C24="No",0,IF('Cuidado infantil familiar'!C24="Si",5821,0))</f>
        <v>0</v>
      </c>
      <c r="D42" s="322">
        <f>SUM(A21*C42)</f>
        <v>0</v>
      </c>
      <c r="E42" s="610"/>
      <c r="F42" s="488"/>
      <c r="G42" s="322"/>
    </row>
    <row r="43" spans="1:16" ht="14.1">
      <c r="B43" s="596" t="s">
        <v>231</v>
      </c>
      <c r="C43" s="611">
        <f>'Cuidado infantil familiar'!C25</f>
        <v>0</v>
      </c>
      <c r="D43" s="322">
        <f>C43*D26</f>
        <v>0</v>
      </c>
      <c r="E43" s="610"/>
      <c r="F43" s="488"/>
      <c r="G43" s="322"/>
    </row>
    <row r="44" spans="1:16">
      <c r="B44" s="222" t="s">
        <v>354</v>
      </c>
      <c r="D44" s="608">
        <f>SUM(D42:D43)</f>
        <v>0</v>
      </c>
      <c r="F44" s="593"/>
      <c r="G44" s="612"/>
    </row>
    <row r="45" spans="1:16">
      <c r="B45" s="596"/>
      <c r="C45" s="403"/>
      <c r="D45" s="322"/>
      <c r="F45" s="593"/>
      <c r="G45" s="612"/>
    </row>
    <row r="46" spans="1:16">
      <c r="B46" s="222" t="s">
        <v>355</v>
      </c>
      <c r="C46" s="199"/>
      <c r="D46" s="608">
        <f>D32+D39+D44</f>
        <v>75617.518437499995</v>
      </c>
      <c r="G46" s="611">
        <f>D46/D66</f>
        <v>0.78019206805989283</v>
      </c>
    </row>
    <row r="47" spans="1:16" ht="12.6" customHeight="1">
      <c r="C47" s="602"/>
      <c r="D47" s="203"/>
      <c r="G47" s="14"/>
    </row>
    <row r="48" spans="1:16">
      <c r="B48" s="489" t="s">
        <v>356</v>
      </c>
      <c r="C48" s="613"/>
      <c r="D48" s="411"/>
      <c r="E48" s="503"/>
      <c r="H48" s="614"/>
      <c r="I48" s="614"/>
    </row>
    <row r="49" spans="1:13">
      <c r="B49" s="403" t="str">
        <f>QualVar!A53</f>
        <v>Family Engagement</v>
      </c>
      <c r="C49" s="613"/>
      <c r="D49" s="203">
        <f>IF('Cuidado infantil familiar'!D31='Cuidado infantil familiar'!L31,QualVar!B56,
IF('Cuidado infantil familiar'!D31='Cuidado infantil familiar'!M31,QualVar!C56,
IF('Cuidado infantil familiar'!D31='Cuidado infantil familiar'!N31,QualVar!D56,0)))</f>
        <v>0</v>
      </c>
      <c r="E49" s="503"/>
    </row>
    <row r="50" spans="1:13">
      <c r="B50" s="403" t="str">
        <f>QualVar!A58</f>
        <v>Professional Development Supports</v>
      </c>
      <c r="C50" s="613"/>
      <c r="D50" s="203">
        <f>IF('Cuidado infantil familiar'!D32='Cuidado infantil familiar'!L32,QualVar!B61,
IF('Cuidado infantil familiar'!D32='Cuidado infantil familiar'!M32,QualVar!C61,
IF('Cuidado infantil familiar'!D32='Cuidado infantil familiar'!N32,QualVar!D61,0)))</f>
        <v>0</v>
      </c>
      <c r="E50" s="503"/>
    </row>
    <row r="51" spans="1:13">
      <c r="B51" s="403" t="str">
        <f>QualVar!A63</f>
        <v>Planning Release Time</v>
      </c>
      <c r="C51" s="613"/>
      <c r="D51" s="203">
        <f>IF('Cuidado infantil familiar'!D33='Cuidado infantil familiar'!L33,QualVar!B65,
IF('Cuidado infantil familiar'!D33='Cuidado infantil familiar'!M33,QualVar!C65,
IF('Cuidado infantil familiar'!D33='Cuidado infantil familiar'!N33,QualVar!D65,0)))</f>
        <v>0</v>
      </c>
      <c r="E51" s="503"/>
    </row>
    <row r="52" spans="1:13">
      <c r="B52" s="403" t="str">
        <f>QualVar!A68</f>
        <v>Educational Materials &amp; Curriculum</v>
      </c>
      <c r="C52" s="613"/>
      <c r="D52" s="203">
        <f>IF('Cuidado infantil familiar'!D34='Cuidado infantil familiar'!L34,QualVar!B73,
IF('Cuidado infantil familiar'!D34='Cuidado infantil familiar'!M34,QualVar!C73,
IF('Cuidado infantil familiar'!D34='Cuidado infantil familiar'!N34,QualVar!D73,0)))</f>
        <v>0</v>
      </c>
      <c r="E52" s="503"/>
    </row>
    <row r="53" spans="1:13">
      <c r="B53" s="403" t="str">
        <f>QualVar!A76</f>
        <v>Inclusion Materials</v>
      </c>
      <c r="C53" s="613"/>
      <c r="D53" s="203">
        <f>IF('Cuidado infantil familiar'!D35='Cuidado infantil familiar'!L35,QualVar!B79,
IF('Cuidado infantil familiar'!D35='Cuidado infantil familiar'!M35,QualVar!C79,
IF('Cuidado infantil familiar'!D35='Cuidado infantil familiar'!N35,QualVar!D79,0)))</f>
        <v>0</v>
      </c>
      <c r="E53" s="503"/>
    </row>
    <row r="54" spans="1:13">
      <c r="B54" s="403" t="str">
        <f>QualVar!A82</f>
        <v>Transportation</v>
      </c>
      <c r="C54" s="613"/>
      <c r="D54" s="203">
        <f>IF('Cuidado infantil familiar'!D36='Cuidado infantil familiar'!L36,QualVar!B86,
IF('Cuidado infantil familiar'!D36='Cuidado infantil familiar'!M36,QualVar!C86,
IF('Cuidado infantil familiar'!D36='Cuidado infantil familiar'!N36,QualVar!D86,
IF('Cuidado infantil familiar'!D36='Cuidado infantil familiar'!O36,QualVar!E86,0))))</f>
        <v>0</v>
      </c>
      <c r="E54" s="503"/>
    </row>
    <row r="55" spans="1:13">
      <c r="B55" s="222" t="s">
        <v>235</v>
      </c>
      <c r="C55" s="613"/>
      <c r="D55" s="615">
        <f>SUM(D49:D54)</f>
        <v>0</v>
      </c>
      <c r="H55" s="593"/>
    </row>
    <row r="56" spans="1:13">
      <c r="B56" s="222"/>
      <c r="C56" s="613"/>
      <c r="D56" s="411"/>
      <c r="E56" s="503"/>
      <c r="H56" s="593"/>
    </row>
    <row r="57" spans="1:13" ht="35.1" thickBot="1">
      <c r="B57" s="616" t="s">
        <v>357</v>
      </c>
      <c r="C57" s="617"/>
      <c r="D57" s="577"/>
      <c r="E57" s="618"/>
      <c r="F57" s="577"/>
      <c r="G57" s="577"/>
    </row>
    <row r="58" spans="1:13" ht="14.1">
      <c r="B58" s="581" t="s">
        <v>358</v>
      </c>
      <c r="E58" s="322"/>
    </row>
    <row r="59" spans="1:13" ht="14.1">
      <c r="B59" s="581" t="s">
        <v>359</v>
      </c>
      <c r="D59" s="322">
        <f>IF('Cuidado infantil familiar'!C$7="Urbano",'Nonpersonnel PCQC'!D88,IF('Cuidado infantil familiar'!C$7="Rural",'Nonpersonnel PCQC'!E88,'Nonpersonnel PCQC'!B88))</f>
        <v>5336.3279999999995</v>
      </c>
    </row>
    <row r="60" spans="1:13" ht="14.1">
      <c r="B60" s="581" t="s">
        <v>360</v>
      </c>
      <c r="D60" s="322">
        <f>IF('Cuidado infantil familiar'!C$7="Urbano",'Nonpersonnel PCQC'!D90,IF('Cuidado infantil familiar'!C$7="Rural",'Nonpersonnel PCQC'!E90,'Nonpersonnel PCQC'!B90))</f>
        <v>8001.4480000000003</v>
      </c>
    </row>
    <row r="61" spans="1:13" ht="14.1">
      <c r="B61" s="550" t="s">
        <v>238</v>
      </c>
      <c r="D61" s="322">
        <f>IF('Cuidado infantil familiar'!C$7="Urbano",'Nonpersonnel PCQC'!D89,IF('Cuidado infantil familiar'!C$7="Rural",'Nonpersonnel PCQC'!E89,'Nonpersonnel PCQC'!B89))</f>
        <v>3351.0582857142854</v>
      </c>
    </row>
    <row r="62" spans="1:13">
      <c r="B62" s="550"/>
      <c r="D62" s="322"/>
    </row>
    <row r="63" spans="1:13">
      <c r="B63" s="222" t="s">
        <v>361</v>
      </c>
      <c r="D63" s="619">
        <f>SUM(D59:D61)</f>
        <v>16688.834285714285</v>
      </c>
      <c r="G63" s="611">
        <f>D63/D66</f>
        <v>0.17218888432105953</v>
      </c>
    </row>
    <row r="64" spans="1:13" ht="12.95" customHeight="1">
      <c r="A64" s="620"/>
      <c r="B64" s="403" t="s">
        <v>242</v>
      </c>
      <c r="D64" s="322">
        <f>E64*(D46+QualityVarCostFCC+D63)</f>
        <v>4615.3176361607138</v>
      </c>
      <c r="E64" s="621">
        <v>0.05</v>
      </c>
      <c r="F64" s="488" t="s">
        <v>233</v>
      </c>
      <c r="K64" s="593"/>
      <c r="L64" s="593"/>
      <c r="M64" s="203"/>
    </row>
    <row r="65" spans="1:13" ht="12.95" customHeight="1">
      <c r="A65" s="620"/>
      <c r="B65" s="403"/>
      <c r="D65" s="322"/>
      <c r="E65" s="503"/>
      <c r="K65" s="593"/>
      <c r="L65" s="593"/>
      <c r="M65" s="203"/>
    </row>
    <row r="66" spans="1:13">
      <c r="A66" s="197"/>
      <c r="C66" s="222" t="s">
        <v>243</v>
      </c>
      <c r="D66" s="608">
        <f>SUM(D46,QualityVarCostFCC,D63,Reserve_Fund_FCC)</f>
        <v>96921.670359374999</v>
      </c>
      <c r="G66" s="197"/>
    </row>
    <row r="67" spans="1:13">
      <c r="D67" s="322"/>
      <c r="G67" s="614"/>
      <c r="K67" s="614"/>
      <c r="L67" s="614"/>
    </row>
    <row r="68" spans="1:13" ht="14.1">
      <c r="B68" s="622" t="s">
        <v>362</v>
      </c>
      <c r="C68" s="582" t="str">
        <f>'Cuidado infantil familiar'!C7</f>
        <v>Urbano</v>
      </c>
      <c r="D68" s="623" t="s">
        <v>363</v>
      </c>
      <c r="E68" s="624"/>
      <c r="H68" s="624" t="s">
        <v>364</v>
      </c>
      <c r="I68" s="624" t="s">
        <v>365</v>
      </c>
      <c r="J68" s="624" t="s">
        <v>16</v>
      </c>
    </row>
    <row r="69" spans="1:13" ht="14.1">
      <c r="B69" s="593" t="s">
        <v>366</v>
      </c>
      <c r="C69" s="198" t="str">
        <f>'Cuidado infantil familiar'!C57</f>
        <v>Acc/Step 3</v>
      </c>
      <c r="D69" s="623" t="s">
        <v>363</v>
      </c>
      <c r="I69" s="624" t="s">
        <v>367</v>
      </c>
      <c r="J69" s="624" t="s">
        <v>368</v>
      </c>
      <c r="K69" s="624" t="s">
        <v>369</v>
      </c>
      <c r="L69" s="624" t="s">
        <v>370</v>
      </c>
      <c r="M69" s="624" t="s">
        <v>371</v>
      </c>
    </row>
    <row r="70" spans="1:13" ht="14.1">
      <c r="A70" s="198" t="s">
        <v>249</v>
      </c>
      <c r="B70" s="622" t="s">
        <v>372</v>
      </c>
      <c r="C70" s="582" t="str">
        <f>C68</f>
        <v>Urbano</v>
      </c>
      <c r="D70" s="623" t="s">
        <v>363</v>
      </c>
      <c r="E70" s="625"/>
      <c r="F70" s="197"/>
      <c r="G70" s="197"/>
      <c r="H70" s="197"/>
      <c r="I70" s="557"/>
    </row>
    <row r="71" spans="1:13" ht="14.1">
      <c r="B71" s="622" t="s">
        <v>373</v>
      </c>
      <c r="C71" s="582" t="str">
        <f>'Cuidado infantil familiar'!C58</f>
        <v xml:space="preserve">50th </v>
      </c>
      <c r="D71" s="623" t="s">
        <v>363</v>
      </c>
      <c r="E71" s="625"/>
      <c r="F71" s="197"/>
      <c r="G71" s="197"/>
      <c r="H71" s="197"/>
      <c r="I71" s="557"/>
    </row>
    <row r="72" spans="1:13">
      <c r="A72" s="626">
        <f>SUM(A74:A84)</f>
        <v>4</v>
      </c>
      <c r="B72" s="199" t="s">
        <v>252</v>
      </c>
      <c r="C72" s="199" t="s">
        <v>374</v>
      </c>
      <c r="D72" s="627" t="s">
        <v>97</v>
      </c>
      <c r="E72" s="197"/>
      <c r="H72" s="197"/>
      <c r="I72" s="557"/>
    </row>
    <row r="73" spans="1:13">
      <c r="A73" s="630">
        <f>'Cuidado infantil familiar'!C52</f>
        <v>4</v>
      </c>
      <c r="B73" s="631" t="s">
        <v>254</v>
      </c>
      <c r="C73" s="632">
        <f>'Cuidado infantil familiar'!B17*AVERAGE('Fed CACFP'!J12:J13)*52</f>
        <v>4992</v>
      </c>
      <c r="D73" s="661">
        <f>C73</f>
        <v>4992</v>
      </c>
      <c r="E73" s="662"/>
      <c r="F73" s="65" t="s">
        <v>255</v>
      </c>
      <c r="G73" s="71" t="s">
        <v>256</v>
      </c>
      <c r="H73" s="428" t="s">
        <v>257</v>
      </c>
      <c r="I73" s="428" t="s">
        <v>258</v>
      </c>
    </row>
    <row r="74" spans="1:13">
      <c r="A74" s="574">
        <f>'Cuidado infantil familiar'!D46</f>
        <v>0</v>
      </c>
      <c r="B74" s="198" t="str">
        <f>'Quality Center Profile'!B74</f>
        <v>Private Tuition (infants)</v>
      </c>
      <c r="C74" s="219">
        <f t="shared" ref="C74:C77" si="5">SUM(F74*12)</f>
        <v>8320</v>
      </c>
      <c r="D74" s="629">
        <f t="shared" ref="D74:D79" si="6">A74*C74</f>
        <v>0</v>
      </c>
      <c r="E74" s="322"/>
      <c r="F74" s="228">
        <f>IF($C$71='Cuidado infantil familiar'!D$59,G74,IF($C$71='Cuidado infantil familiar'!E$59,H74,IF($C$71='Cuidado infantil familiar'!F$59,I74,IF(C$71='Cuidado infantil familiar'!G$59,J74,0))))</f>
        <v>693.33333333333337</v>
      </c>
      <c r="G74" s="228">
        <f>IF($C$70="Urbano",Tuition!G4,IF($C$70="Rural",Tuition!H4,IF($C$70="En todo el estado",Tuition!I4,0)))</f>
        <v>693.33333333333337</v>
      </c>
      <c r="H74" s="318">
        <f>IF($C$70="Urbano",Tuition!G10,IF($C$70="Rural",Tuition!H10,IF($C$70="En todo el estado",Tuition!I10,)))</f>
        <v>769.16666666666663</v>
      </c>
      <c r="I74" s="228">
        <f>IF(C$70="Urbano",Tuition!G17,IF(C$70="Rural",Tuition!H17,IF(C$70="En todo el estado",Tuition!I17,)))</f>
        <v>823.33333333333337</v>
      </c>
      <c r="J74" s="228">
        <f>'Cuidado infantil familiar'!I53</f>
        <v>1500</v>
      </c>
    </row>
    <row r="75" spans="1:13">
      <c r="A75" s="574">
        <f>'Cuidado infantil familiar'!D47</f>
        <v>0</v>
      </c>
      <c r="B75" s="198" t="str">
        <f>'Quality Center Profile'!B75</f>
        <v>Private Tuition (toddlers)</v>
      </c>
      <c r="C75" s="219">
        <f t="shared" si="5"/>
        <v>8060</v>
      </c>
      <c r="D75" s="629">
        <f t="shared" si="6"/>
        <v>0</v>
      </c>
      <c r="E75" s="322"/>
      <c r="F75" s="228">
        <f>IF($C$71='Cuidado infantil familiar'!D$59,G75,IF($C$71='Cuidado infantil familiar'!E$59,H75,IF($C$71='Cuidado infantil familiar'!F$59,I75,IF(C$71='Cuidado infantil familiar'!G$59,J75,0))))</f>
        <v>671.66666666666663</v>
      </c>
      <c r="G75" s="228">
        <f>IF($C$70="Urbano",Tuition!G5,IF($C$70="Rural",Tuition!H5,IF($C$70="En todo el estado",Tuition!I5,0)))</f>
        <v>671.66666666666663</v>
      </c>
      <c r="H75" s="318">
        <f>IF($C$70="Urbano",Tuition!G11,IF($C$70="Rural",Tuition!H11,IF($C$70="En todo el estado",Tuition!I11,)))</f>
        <v>758.33333333333337</v>
      </c>
      <c r="I75" s="228">
        <f>IF(C$70="Urbano",Tuition!G18,IF(C$70="Rural",Tuition!H18,IF(C$70="En todo el estado",Tuition!I18,)))</f>
        <v>821.16666666666663</v>
      </c>
      <c r="J75" s="228">
        <f>'Cuidado infantil familiar'!I54</f>
        <v>1400</v>
      </c>
    </row>
    <row r="76" spans="1:13">
      <c r="A76" s="574">
        <f>'Cuidado infantil familiar'!D48</f>
        <v>0</v>
      </c>
      <c r="B76" s="198" t="str">
        <f>'Quality Center Profile'!B76</f>
        <v>Private Tuition (2 year olds)</v>
      </c>
      <c r="C76" s="219">
        <f t="shared" si="5"/>
        <v>8060</v>
      </c>
      <c r="D76" s="629">
        <f t="shared" si="6"/>
        <v>0</v>
      </c>
      <c r="E76" s="322"/>
      <c r="F76" s="228">
        <f>IF($C$71='Cuidado infantil familiar'!D$59,G76,IF($C$71='Cuidado infantil familiar'!E$59,H76,IF($C$71='Cuidado infantil familiar'!F$59,I76,IF(C$71='Cuidado infantil familiar'!G$59,J76,0))))</f>
        <v>671.66666666666663</v>
      </c>
      <c r="G76" s="228">
        <f>G75</f>
        <v>671.66666666666663</v>
      </c>
      <c r="H76" s="228">
        <f t="shared" ref="H76:I76" si="7">H75</f>
        <v>758.33333333333337</v>
      </c>
      <c r="I76" s="228">
        <f t="shared" si="7"/>
        <v>821.16666666666663</v>
      </c>
      <c r="J76" s="228">
        <f>'Cuidado infantil familiar'!I55</f>
        <v>1400</v>
      </c>
    </row>
    <row r="77" spans="1:13">
      <c r="A77" s="574">
        <f>'Cuidado infantil familiar'!D49</f>
        <v>0</v>
      </c>
      <c r="B77" s="198" t="str">
        <f>'Quality Center Profile'!B77</f>
        <v>Private Tuition (3 year olds)</v>
      </c>
      <c r="C77" s="219">
        <f t="shared" si="5"/>
        <v>8060</v>
      </c>
      <c r="D77" s="629">
        <f t="shared" si="6"/>
        <v>0</v>
      </c>
      <c r="E77" s="322"/>
      <c r="F77" s="228">
        <f>IF($C$71='Cuidado infantil familiar'!D$59,G77,IF($C$71='Cuidado infantil familiar'!E$59,H77,IF($C$71='Cuidado infantil familiar'!F$59,I77,IF(C$71='Cuidado infantil familiar'!G$59,J77,0))))</f>
        <v>671.66666666666663</v>
      </c>
      <c r="G77" s="228">
        <f>G78</f>
        <v>671.66666666666663</v>
      </c>
      <c r="H77" s="228">
        <f t="shared" ref="H77:I77" si="8">H78</f>
        <v>758.33333333333337</v>
      </c>
      <c r="I77" s="228">
        <f t="shared" si="8"/>
        <v>777.83333333333337</v>
      </c>
      <c r="J77" s="228">
        <f>'Cuidado infantil familiar'!I56</f>
        <v>1300</v>
      </c>
    </row>
    <row r="78" spans="1:13">
      <c r="A78" s="574">
        <f>'Cuidado infantil familiar'!D50</f>
        <v>0</v>
      </c>
      <c r="B78" s="198" t="str">
        <f>'Quality Center Profile'!B78</f>
        <v>Private Tuition (4-5 year olds)</v>
      </c>
      <c r="C78" s="219">
        <f>SUM(F78*12)</f>
        <v>8060</v>
      </c>
      <c r="D78" s="629">
        <f t="shared" si="6"/>
        <v>0</v>
      </c>
      <c r="E78" s="322"/>
      <c r="F78" s="228">
        <f>IF($C$71='Cuidado infantil familiar'!D$59,G78,IF($C$71='Cuidado infantil familiar'!E$59,H78,IF($C$71='Cuidado infantil familiar'!F$59,I78,IF(C$71='Cuidado infantil familiar'!G$59,J78,0))))</f>
        <v>671.66666666666663</v>
      </c>
      <c r="G78" s="228">
        <f>IF($C$70="Urbano",Tuition!G6,IF($C$70="Rural",Tuition!H6,IF($C$70="En todo el estado",Tuition!I6,0)))</f>
        <v>671.66666666666663</v>
      </c>
      <c r="H78" s="318">
        <f>IF($C$70="Urbano",Tuition!G12,IF($C$70="Rural",Tuition!H12,IF($C$70="En todo el estado",Tuition!I12,)))</f>
        <v>758.33333333333337</v>
      </c>
      <c r="I78" s="228">
        <f>IF(C$70="Urbano",Tuition!G19,IF(C$70="Rural",Tuition!H19,IF(C$70="En todo el estado",Tuition!I19,)))</f>
        <v>777.83333333333337</v>
      </c>
      <c r="J78" s="228">
        <f>'Cuidado infantil familiar'!I57</f>
        <v>1200</v>
      </c>
    </row>
    <row r="79" spans="1:13">
      <c r="A79" s="574">
        <f>'Cuidado infantil familiar'!D51</f>
        <v>0</v>
      </c>
      <c r="B79" s="631" t="str">
        <f>'Quality Center Profile'!B79</f>
        <v>Private Tuition (school age)</v>
      </c>
      <c r="C79" s="632">
        <f>SUM(F79*12)</f>
        <v>2808</v>
      </c>
      <c r="D79" s="633">
        <f t="shared" si="6"/>
        <v>0</v>
      </c>
      <c r="E79" s="660"/>
      <c r="F79" s="228">
        <f>IF($C$71='Cuidado infantil familiar'!D$59,G79,IF($C$71='Cuidado infantil familiar'!E$59,H79,IF($C$71='Cuidado infantil familiar'!F$59,I79,IF(C$71='Cuidado infantil familiar'!G$59,J79,0))))*0.6</f>
        <v>234</v>
      </c>
      <c r="G79" s="228">
        <f>IF($C$70="Urbano",Tuition!G7,IF($C$70="Rural",Tuition!H7,IF($C$70="En todo el estado",Tuition!I7,0)))*0.6</f>
        <v>390</v>
      </c>
      <c r="H79" s="318">
        <f>IF($C$70="Urbano",Tuition!G13,IF($C$70="Rural",Tuition!H13,IF($C$70="En todo el estado",Tuition!I13,)))*0.6</f>
        <v>429</v>
      </c>
      <c r="I79" s="228">
        <f>IF(C$70="Urbano",Tuition!G20,IF(C$70="Rural",Tuition!H20,IF(C$70="En todo el estado",Tuition!I20,)))*0.6</f>
        <v>474.5</v>
      </c>
      <c r="J79" s="228">
        <f>'Cuidado infantil familiar'!I58</f>
        <v>800</v>
      </c>
    </row>
    <row r="80" spans="1:13">
      <c r="A80" s="574"/>
      <c r="C80" s="219"/>
      <c r="D80" s="634"/>
      <c r="E80" s="322"/>
      <c r="F80" s="19"/>
      <c r="G80" s="37" t="s">
        <v>265</v>
      </c>
      <c r="H80" s="664" t="s">
        <v>93</v>
      </c>
      <c r="I80" s="664" t="s">
        <v>94</v>
      </c>
      <c r="J80" s="664" t="s">
        <v>95</v>
      </c>
    </row>
    <row r="81" spans="1:11">
      <c r="A81" s="574">
        <f>'Cuidado infantil familiar'!C46</f>
        <v>1</v>
      </c>
      <c r="B81" s="198" t="str">
        <f>'Quality Center Profile'!B81</f>
        <v>State subsidy (infants)</v>
      </c>
      <c r="C81" s="219">
        <f>SUM(F81*12)</f>
        <v>9698</v>
      </c>
      <c r="D81" s="629">
        <f>A81*C81</f>
        <v>9698</v>
      </c>
      <c r="E81" s="322"/>
      <c r="F81" s="228">
        <f>IF($C$69="Licencia",G81,IF($C$69="Acc/Step 3",H81,IF($C$69="Step 4",I81,IF($C$69="Step 5",J81,0))))</f>
        <v>808.16666666666663</v>
      </c>
      <c r="G81" s="665">
        <f>IF($C$68="Urbano",'State Subsidy'!$J10,IF($C$68="Rural",'State Subsidy'!$L10,IF($C$68="En todo el estado",'State Subsidy'!$N10,)))</f>
        <v>769.16666666666663</v>
      </c>
      <c r="H81" s="665">
        <f>IF($C$68="Urbano",'State Subsidy'!$J23,IF($C$68="Rural",'State Subsidy'!$L23,IF($C$68="En todo el estado",'State Subsidy'!$N23,)))</f>
        <v>808.16666666666663</v>
      </c>
      <c r="I81" s="665">
        <f>IF($C$68="Urbano",'State Subsidy'!$J36,IF($C$68="Rural",'State Subsidy'!$L36,IF($C$68="En todo el estado",'State Subsidy'!$N36,)))</f>
        <v>848.25</v>
      </c>
      <c r="J81" s="665">
        <f>IF($C$68="Urbano",'State Subsidy'!$J49,IF($C$68="Rural",'State Subsidy'!$L49,IF($C$68="En todo el estado",'State Subsidy'!$N49,)))</f>
        <v>890.5</v>
      </c>
      <c r="K81" s="635"/>
    </row>
    <row r="82" spans="1:11">
      <c r="A82" s="574">
        <f>'Cuidado infantil familiar'!C47</f>
        <v>1</v>
      </c>
      <c r="B82" s="198" t="str">
        <f>'Quality Center Profile'!B82</f>
        <v>State  subsidy (Toddlers)</v>
      </c>
      <c r="C82" s="219">
        <f>SUM(F82*12)</f>
        <v>9555</v>
      </c>
      <c r="D82" s="629">
        <f>A82*C82</f>
        <v>9555</v>
      </c>
      <c r="E82" s="322"/>
      <c r="F82" s="228">
        <f>IF($C$69="Licencia",G82,IF($C$69="Acc/Step 3",H82,IF($C$69="Step 4",I82,IF($C$69="Step 5",J82,0))))</f>
        <v>796.25</v>
      </c>
      <c r="G82" s="665">
        <f>IF($C$68="Urbano",'State Subsidy'!$J11,IF($C$68="Rural",'State Subsidy'!$L11,IF($C$68="En todo el estado",'State Subsidy'!$N11,)))</f>
        <v>758.33333333333337</v>
      </c>
      <c r="H82" s="665">
        <f>IF($C$68="Urbano",'State Subsidy'!$J24,IF($C$68="Rural",'State Subsidy'!$L24,IF($C$68="En todo el estado",'State Subsidy'!$N24,)))</f>
        <v>796.25</v>
      </c>
      <c r="I82" s="665">
        <f>IF($C$68="Urbano",'State Subsidy'!$J37,IF($C$68="Rural",'State Subsidy'!$L37,IF($C$68="En todo el estado",'State Subsidy'!$N37,)))</f>
        <v>836.33333333333337</v>
      </c>
      <c r="J82" s="665">
        <f>IF($C$68="Urbano",'State Subsidy'!$J50,IF($C$68="Rural",'State Subsidy'!$L50,IF($C$68="En todo el estado",'State Subsidy'!$N50,)))</f>
        <v>878.58333333333337</v>
      </c>
      <c r="K82" s="635"/>
    </row>
    <row r="83" spans="1:11">
      <c r="A83" s="574">
        <f>'Cuidado infantil familiar'!C48</f>
        <v>1</v>
      </c>
      <c r="B83" s="198" t="str">
        <f>'Quality Center Profile'!B83</f>
        <v>State subsidy (2 year olds)</v>
      </c>
      <c r="C83" s="219">
        <f t="shared" ref="C83:C86" si="9">SUM(F83*12)</f>
        <v>9555</v>
      </c>
      <c r="D83" s="629">
        <f t="shared" ref="D83:D84" si="10">A83*C83</f>
        <v>9555</v>
      </c>
      <c r="E83" s="322"/>
      <c r="F83" s="228">
        <f>IF($C$69="Licencia",G83,IF($C$69="Acc/Step 3",H83,IF($C$69="Step 4",I83,IF($C$69="Step 5",J83,0))))</f>
        <v>796.25</v>
      </c>
      <c r="G83" s="665">
        <f>G82</f>
        <v>758.33333333333337</v>
      </c>
      <c r="H83" s="665">
        <f t="shared" ref="H83:J83" si="11">H82</f>
        <v>796.25</v>
      </c>
      <c r="I83" s="665">
        <f t="shared" si="11"/>
        <v>836.33333333333337</v>
      </c>
      <c r="J83" s="665">
        <f t="shared" si="11"/>
        <v>878.58333333333337</v>
      </c>
      <c r="K83" s="635"/>
    </row>
    <row r="84" spans="1:11">
      <c r="A84" s="574">
        <f>'Cuidado infantil familiar'!C49</f>
        <v>1</v>
      </c>
      <c r="B84" s="198" t="str">
        <f>'Quality Center Profile'!B84</f>
        <v>State subsidy (3 year old)</v>
      </c>
      <c r="C84" s="219">
        <f t="shared" si="9"/>
        <v>9555</v>
      </c>
      <c r="D84" s="634">
        <f t="shared" si="10"/>
        <v>9555</v>
      </c>
      <c r="E84" s="663"/>
      <c r="F84" s="228">
        <f>IF($C$69="Licencia",G84,IF($C$69="Acc/Step 3",H84,IF($C$69="Step 4",I84,IF($C$69="Step 5",J84,0))))</f>
        <v>796.25</v>
      </c>
      <c r="G84" s="665">
        <f>IF($C$68="Urbano",'State Subsidy'!J12,IF($C$68="Rural",'State Subsidy'!$L12,IF($C$68="En todo el estado",'State Subsidy'!$N12,)))</f>
        <v>758.33333333333337</v>
      </c>
      <c r="H84" s="317">
        <f>IF($C$68="Urbano",'State Subsidy'!$J25,IF($C$68="Rural",'State Subsidy'!$L25,IF($C$68="En todo el estado",'State Subsidy'!$N25,)))</f>
        <v>796.25</v>
      </c>
      <c r="I84" s="317">
        <f>IF($C$68="Urbano",'State Subsidy'!$J38,IF($C$68="Rural",'State Subsidy'!$L38,IF($C$68="En todo el estado",'State Subsidy'!$N38,)))</f>
        <v>836.33333333333337</v>
      </c>
      <c r="J84" s="228">
        <f>IF($C$68="Urbano",'State Subsidy'!$J51,IF($C$68="Rural",'State Subsidy'!$L51,IF($C$68="En todo el estado",'State Subsidy'!N51,)))</f>
        <v>878.58333333333337</v>
      </c>
      <c r="K84" s="635"/>
    </row>
    <row r="85" spans="1:11">
      <c r="A85" s="574">
        <f>'Cuidado infantil familiar'!C50</f>
        <v>0</v>
      </c>
      <c r="B85" s="198" t="str">
        <f>'Quality Center Profile'!B85</f>
        <v>State subsidy (4-5 years)</v>
      </c>
      <c r="C85" s="219">
        <f>SUM(F85*12)</f>
        <v>9555</v>
      </c>
      <c r="D85" s="634">
        <f>A85*C85</f>
        <v>0</v>
      </c>
      <c r="E85" s="663"/>
      <c r="F85" s="228">
        <f>IF($C$69="Licencia",G85,IF($C$69="Acc/Step 3",H85,IF($C$69="Step 4",I85,IF($C$69="Step 5",J85,0))))</f>
        <v>796.25</v>
      </c>
      <c r="G85" s="665">
        <f>G84</f>
        <v>758.33333333333337</v>
      </c>
      <c r="H85" s="665">
        <f t="shared" ref="H85:J85" si="12">H84</f>
        <v>796.25</v>
      </c>
      <c r="I85" s="665">
        <f t="shared" si="12"/>
        <v>836.33333333333337</v>
      </c>
      <c r="J85" s="665">
        <f t="shared" si="12"/>
        <v>878.58333333333337</v>
      </c>
      <c r="K85" s="635"/>
    </row>
    <row r="86" spans="1:11">
      <c r="A86" s="574">
        <f>'Cuidado infantil familiar'!C51</f>
        <v>0</v>
      </c>
      <c r="B86" s="631" t="str">
        <f>'Quality Center Profile'!B86</f>
        <v>State subsidy (school age)</v>
      </c>
      <c r="C86" s="219">
        <f t="shared" si="9"/>
        <v>3243.24</v>
      </c>
      <c r="D86" s="633">
        <f>A86*C86</f>
        <v>0</v>
      </c>
      <c r="E86" s="660"/>
      <c r="F86" s="228">
        <f>IF($C$69="Licencia",G86,IF($C$69="Acc/Step 3",H86,IF($C$69="Step 4",I86,IF($C$69="Step 5",J86,0))))*0.6</f>
        <v>270.27</v>
      </c>
      <c r="G86" s="665">
        <f>IF($C$68="Urbano",'State Subsidy'!$J13,IF($C$68="Rural",'State Subsidy'!$L13,IF($C$68="En todo el estado",'State Subsidy'!$N13,)))*0.6</f>
        <v>429</v>
      </c>
      <c r="H86" s="317">
        <f>IF($C$68="Urbano",'State Subsidy'!$J26,IF($C$68="Rural",'State Subsidy'!$L26,IF($C$68="En todo el estado",'State Subsidy'!$N26,)))*0.6</f>
        <v>450.45</v>
      </c>
      <c r="I86" s="317">
        <f>IF($C$68="Urbano",'State Subsidy'!$J39,IF($C$68="Rural",'State Subsidy'!$L39,IF($C$68="En todo el estado",'State Subsidy'!$N39,)))*0.6</f>
        <v>473.19999999999993</v>
      </c>
      <c r="J86" s="228">
        <f>IF($C$68="Urbano",'State Subsidy'!$J52,IF($C$68="Rural",'State Subsidy'!$L52,IF($C$68="En todo el estado",'State Subsidy'!$N52,)))*0.6</f>
        <v>497.25</v>
      </c>
      <c r="K86" s="635"/>
    </row>
    <row r="87" spans="1:11">
      <c r="B87" s="198" t="s">
        <v>272</v>
      </c>
      <c r="D87" s="179">
        <f>'Cuidado infantil familiar'!C55</f>
        <v>25000</v>
      </c>
      <c r="E87" s="322"/>
    </row>
    <row r="88" spans="1:11" ht="14.1" thickBot="1">
      <c r="B88" s="485"/>
      <c r="D88" s="636">
        <f>SUM(D73:D87)</f>
        <v>68355</v>
      </c>
      <c r="E88" s="637" t="s">
        <v>273</v>
      </c>
    </row>
    <row r="89" spans="1:11">
      <c r="H89" s="638" t="s">
        <v>375</v>
      </c>
      <c r="I89" s="639"/>
    </row>
    <row r="90" spans="1:11">
      <c r="B90" s="641" t="s">
        <v>274</v>
      </c>
      <c r="C90" s="197"/>
      <c r="D90" s="197"/>
      <c r="E90" s="197"/>
      <c r="F90" s="197"/>
      <c r="H90" s="640" t="str">
        <f>B7</f>
        <v>Infantes</v>
      </c>
      <c r="I90" s="178">
        <f t="shared" ref="I90:I91" si="13">C7*A7</f>
        <v>24230.41758984375</v>
      </c>
    </row>
    <row r="91" spans="1:11">
      <c r="B91" s="197" t="s">
        <v>275</v>
      </c>
      <c r="C91" s="642">
        <f>BadDebt_FCC</f>
        <v>0.02</v>
      </c>
      <c r="D91" s="557">
        <f>C91*(D88-D87)</f>
        <v>867.1</v>
      </c>
      <c r="E91" s="197"/>
      <c r="F91" s="197"/>
      <c r="H91" s="640" t="str">
        <f t="shared" ref="H91:H95" si="14">B8</f>
        <v>Niños pequeños</v>
      </c>
      <c r="I91" s="178">
        <f t="shared" si="13"/>
        <v>24230.41758984375</v>
      </c>
    </row>
    <row r="92" spans="1:11">
      <c r="B92" s="197" t="s">
        <v>276</v>
      </c>
      <c r="C92" s="642">
        <f>EnrollEffic_FCC</f>
        <v>0.95</v>
      </c>
      <c r="D92" s="628">
        <f>(1-C92)*(D88-D91-D87)</f>
        <v>2124.3950000000018</v>
      </c>
      <c r="E92" s="197"/>
      <c r="F92" s="197"/>
      <c r="H92" s="640" t="str">
        <f t="shared" si="14"/>
        <v>2 años de edad</v>
      </c>
      <c r="I92" s="178">
        <f>C9*A9</f>
        <v>24230.41758984375</v>
      </c>
    </row>
    <row r="93" spans="1:11">
      <c r="B93" s="197"/>
      <c r="C93" s="571"/>
      <c r="D93" s="625">
        <f>D88-D91-D92</f>
        <v>65363.50499999999</v>
      </c>
      <c r="E93" s="643" t="s">
        <v>277</v>
      </c>
      <c r="F93" s="197"/>
      <c r="H93" s="640" t="str">
        <f t="shared" si="14"/>
        <v>3 años de edad</v>
      </c>
      <c r="I93" s="178">
        <f t="shared" ref="I93:I95" si="15">C10*A10</f>
        <v>24230.41758984375</v>
      </c>
    </row>
    <row r="94" spans="1:11">
      <c r="B94" s="644" t="s">
        <v>278</v>
      </c>
      <c r="C94" s="644"/>
      <c r="D94" s="645">
        <f>D93-D66</f>
        <v>-31558.165359375009</v>
      </c>
      <c r="E94" s="646">
        <f>D94/D66</f>
        <v>-0.32560484401848183</v>
      </c>
      <c r="F94" s="644" t="s">
        <v>233</v>
      </c>
      <c r="H94" s="640" t="str">
        <f t="shared" si="14"/>
        <v>4-5 años de edad</v>
      </c>
      <c r="I94" s="178">
        <f t="shared" si="15"/>
        <v>0</v>
      </c>
    </row>
    <row r="95" spans="1:11">
      <c r="H95" s="640" t="str">
        <f t="shared" si="14"/>
        <v>Edad escolar</v>
      </c>
      <c r="I95" s="178">
        <f t="shared" si="15"/>
        <v>0</v>
      </c>
    </row>
    <row r="96" spans="1:11">
      <c r="H96" s="676" t="s">
        <v>203</v>
      </c>
      <c r="I96" s="677">
        <f>SUM(I90:I95)</f>
        <v>96921.670359374999</v>
      </c>
    </row>
    <row r="97" spans="8:9" ht="14.1" thickBot="1">
      <c r="H97" s="674"/>
      <c r="I97" s="675">
        <f>I96-D66</f>
        <v>0</v>
      </c>
    </row>
  </sheetData>
  <sheetProtection selectLockedCells="1" selectUnlockedCells="1"/>
  <mergeCells count="1">
    <mergeCell ref="E14:I14"/>
  </mergeCells>
  <conditionalFormatting sqref="I97">
    <cfRule type="cellIs" dxfId="1" priority="1" operator="greaterThan">
      <formula>0</formula>
    </cfRule>
    <cfRule type="cellIs" dxfId="0" priority="2" stopIfTrue="1" operator="lessThan">
      <formula>0</formula>
    </cfRule>
  </conditionalFormatting>
  <pageMargins left="0.25" right="0.25" top="0.25" bottom="0.25" header="0" footer="0"/>
  <pageSetup paperSize="5" scale="92" orientation="landscape" horizontalDpi="4294967293" verticalDpi="0" r:id="rId1"/>
  <headerFooter alignWithMargins="0"/>
  <colBreaks count="1" manualBreakCount="1">
    <brk id="18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0E8EC-3411-414F-A198-7AE0ACFC7612}">
  <sheetPr codeName="Sheet3">
    <tabColor theme="9" tint="0.79998168889431442"/>
  </sheetPr>
  <dimension ref="A1:K86"/>
  <sheetViews>
    <sheetView workbookViewId="0"/>
  </sheetViews>
  <sheetFormatPr defaultColWidth="10.85546875" defaultRowHeight="12.95"/>
  <cols>
    <col min="1" max="1" width="37.140625" style="198" customWidth="1"/>
    <col min="2" max="3" width="14" style="198" customWidth="1"/>
    <col min="4" max="4" width="15" style="198" customWidth="1"/>
    <col min="5" max="6" width="11.140625" style="198" bestFit="1" customWidth="1"/>
    <col min="7" max="16384" width="10.85546875" style="198"/>
  </cols>
  <sheetData>
    <row r="1" spans="1:11">
      <c r="A1" s="210" t="s">
        <v>376</v>
      </c>
      <c r="B1" s="211">
        <f>'Quality Center Profile'!E36</f>
        <v>24.232211538461538</v>
      </c>
    </row>
    <row r="2" spans="1:11">
      <c r="A2" s="212" t="s">
        <v>174</v>
      </c>
      <c r="B2" s="213">
        <f>'Quality Center Profile'!A24+'Quality Center Profile'!A26</f>
        <v>4</v>
      </c>
    </row>
    <row r="3" spans="1:11">
      <c r="A3" s="212" t="s">
        <v>377</v>
      </c>
      <c r="B3" s="213">
        <f>'Quality Center Profile'!A25+'Quality Center Profile'!A27</f>
        <v>5</v>
      </c>
    </row>
    <row r="4" spans="1:11">
      <c r="A4" s="212" t="s">
        <v>378</v>
      </c>
      <c r="B4" s="213">
        <f>SUM('Quality Center Profile'!A19:A20)</f>
        <v>1.5</v>
      </c>
    </row>
    <row r="5" spans="1:11">
      <c r="A5" s="212" t="s">
        <v>175</v>
      </c>
      <c r="B5" s="213">
        <f>TotalClassrooms</f>
        <v>4</v>
      </c>
    </row>
    <row r="6" spans="1:11" s="672" customFormat="1">
      <c r="A6" s="670"/>
      <c r="B6" s="671"/>
    </row>
    <row r="7" spans="1:11">
      <c r="A7" s="214" t="s">
        <v>379</v>
      </c>
      <c r="B7" s="215">
        <f>'Cuidado infantil en centros'!F18</f>
        <v>56</v>
      </c>
      <c r="C7" s="198">
        <f>SUM('Cuidado infantil en centros'!F15:F17)</f>
        <v>20</v>
      </c>
      <c r="D7" s="198" t="s">
        <v>380</v>
      </c>
    </row>
    <row r="9" spans="1:11">
      <c r="A9" s="216" t="s">
        <v>381</v>
      </c>
      <c r="B9" s="199" t="s">
        <v>5</v>
      </c>
      <c r="C9" s="199" t="s">
        <v>382</v>
      </c>
      <c r="D9" s="199" t="s">
        <v>383</v>
      </c>
      <c r="E9" s="199"/>
    </row>
    <row r="10" spans="1:11" ht="12" customHeight="1">
      <c r="A10" s="198" t="s">
        <v>384</v>
      </c>
      <c r="B10" s="198">
        <v>0</v>
      </c>
      <c r="C10" s="203">
        <f>2*B7*B1</f>
        <v>2714.0076923076922</v>
      </c>
      <c r="D10" s="203">
        <f>2*B7*B1*2</f>
        <v>5428.0153846153844</v>
      </c>
      <c r="E10" s="203"/>
      <c r="F10" s="198" t="s">
        <v>385</v>
      </c>
    </row>
    <row r="11" spans="1:11">
      <c r="A11" s="198" t="s">
        <v>386</v>
      </c>
      <c r="D11" s="90">
        <f>B7/64*F11</f>
        <v>69946.625</v>
      </c>
      <c r="E11" s="203"/>
      <c r="F11" s="203">
        <f>'Quality Center Profile'!E20</f>
        <v>79939</v>
      </c>
      <c r="G11" s="197" t="s">
        <v>387</v>
      </c>
      <c r="K11" s="254">
        <f>B7/46</f>
        <v>1.2173913043478262</v>
      </c>
    </row>
    <row r="12" spans="1:11">
      <c r="A12" s="217" t="s">
        <v>97</v>
      </c>
      <c r="B12" s="218">
        <f>SUM(B10:B11)</f>
        <v>0</v>
      </c>
      <c r="C12" s="89">
        <f>SUM(C10:C11)</f>
        <v>2714.0076923076922</v>
      </c>
      <c r="D12" s="89">
        <f>SUM(D10:D11)</f>
        <v>75374.640384615384</v>
      </c>
      <c r="E12" s="89"/>
    </row>
    <row r="14" spans="1:11">
      <c r="A14" s="216" t="s">
        <v>388</v>
      </c>
      <c r="B14" s="199" t="str">
        <f>B9</f>
        <v>Licensing</v>
      </c>
      <c r="C14" s="199" t="str">
        <f>C9</f>
        <v>Point B</v>
      </c>
      <c r="D14" s="199" t="str">
        <f>D9</f>
        <v>Point C</v>
      </c>
      <c r="E14" s="199"/>
    </row>
    <row r="15" spans="1:11">
      <c r="A15" s="198" t="s">
        <v>389</v>
      </c>
      <c r="B15" s="219"/>
      <c r="C15" s="219">
        <f>SUM(B4*B1)*24</f>
        <v>872.35961538461538</v>
      </c>
      <c r="D15" s="219">
        <f>SUM(B4*B1)*36</f>
        <v>1308.539423076923</v>
      </c>
      <c r="E15" s="219"/>
      <c r="F15" s="198" t="s">
        <v>390</v>
      </c>
    </row>
    <row r="16" spans="1:11">
      <c r="A16" s="198" t="s">
        <v>391</v>
      </c>
      <c r="B16" s="219"/>
      <c r="C16" s="219">
        <f>SUM(B2:B3)*(B1*24)</f>
        <v>5234.1576923076918</v>
      </c>
      <c r="D16" s="219">
        <f>SUM(B2:B3)*(B1*36)</f>
        <v>7851.2365384615387</v>
      </c>
      <c r="E16" s="219"/>
    </row>
    <row r="17" spans="1:6">
      <c r="A17" s="217" t="s">
        <v>97</v>
      </c>
      <c r="B17" s="220">
        <f>SUM(B15:B16)</f>
        <v>0</v>
      </c>
      <c r="C17" s="220">
        <f>SUM(C15:C16)</f>
        <v>6106.5173076923074</v>
      </c>
      <c r="D17" s="220">
        <f>SUM(D15:D16)</f>
        <v>9159.7759615384621</v>
      </c>
      <c r="E17" s="219"/>
    </row>
    <row r="18" spans="1:6">
      <c r="B18" s="219"/>
      <c r="C18" s="219"/>
      <c r="D18" s="219"/>
      <c r="E18" s="219"/>
    </row>
    <row r="19" spans="1:6">
      <c r="A19" s="216" t="s">
        <v>392</v>
      </c>
      <c r="B19" s="411" t="str">
        <f>B9</f>
        <v>Licensing</v>
      </c>
      <c r="C19" s="411" t="str">
        <f t="shared" ref="C19:D19" si="0">C9</f>
        <v>Point B</v>
      </c>
      <c r="D19" s="411" t="str">
        <f t="shared" si="0"/>
        <v>Point C</v>
      </c>
      <c r="E19" s="219"/>
    </row>
    <row r="20" spans="1:6">
      <c r="A20" s="198" t="s">
        <v>393</v>
      </c>
      <c r="B20" s="219">
        <v>0</v>
      </c>
      <c r="C20" s="219">
        <f>SUM(B2*B1)*5*52</f>
        <v>25201.5</v>
      </c>
      <c r="D20" s="219">
        <f>SUM((B2*B1*(6.5*52)))</f>
        <v>32761.95</v>
      </c>
      <c r="E20" s="219"/>
    </row>
    <row r="21" spans="1:6">
      <c r="A21" s="198" t="s">
        <v>394</v>
      </c>
      <c r="B21" s="219">
        <v>0</v>
      </c>
      <c r="C21" s="219">
        <v>0</v>
      </c>
      <c r="D21" s="219">
        <f>SUM((B3*B1)*(6.5*52))</f>
        <v>40952.4375</v>
      </c>
      <c r="E21" s="219"/>
    </row>
    <row r="22" spans="1:6">
      <c r="A22" s="217" t="s">
        <v>97</v>
      </c>
      <c r="B22" s="220">
        <f>SUM(B20:B21)</f>
        <v>0</v>
      </c>
      <c r="C22" s="220">
        <f>SUM(C20:C21)</f>
        <v>25201.5</v>
      </c>
      <c r="D22" s="220">
        <f>SUM(D20:D21)</f>
        <v>73714.387499999997</v>
      </c>
      <c r="E22" s="220"/>
    </row>
    <row r="24" spans="1:6">
      <c r="A24" s="222"/>
      <c r="B24" s="203"/>
      <c r="C24" s="203"/>
      <c r="D24" s="203"/>
      <c r="E24" s="203"/>
    </row>
    <row r="25" spans="1:6">
      <c r="A25" s="216" t="s">
        <v>395</v>
      </c>
      <c r="B25" s="411" t="str">
        <f>B14</f>
        <v>Licensing</v>
      </c>
      <c r="C25" s="411" t="str">
        <f>C14</f>
        <v>Point B</v>
      </c>
      <c r="D25" s="411" t="str">
        <f>D14</f>
        <v>Point C</v>
      </c>
      <c r="E25" s="203"/>
    </row>
    <row r="26" spans="1:6">
      <c r="A26" s="198" t="s">
        <v>396</v>
      </c>
      <c r="B26" s="203">
        <v>0</v>
      </c>
      <c r="C26" s="203">
        <f>3000*$B5</f>
        <v>12000</v>
      </c>
      <c r="D26" s="203">
        <f>3000*$B5</f>
        <v>12000</v>
      </c>
      <c r="E26" s="203"/>
    </row>
    <row r="27" spans="1:6">
      <c r="A27" s="198" t="s">
        <v>397</v>
      </c>
      <c r="B27" s="203">
        <v>0</v>
      </c>
      <c r="C27" s="203">
        <f>150*B7</f>
        <v>8400</v>
      </c>
      <c r="D27" s="203">
        <f>250*B7</f>
        <v>14000</v>
      </c>
      <c r="E27" s="203"/>
    </row>
    <row r="28" spans="1:6">
      <c r="A28" s="198" t="s">
        <v>398</v>
      </c>
      <c r="B28" s="203">
        <v>0</v>
      </c>
      <c r="C28" s="203">
        <f>SUM(2*B7)*B1</f>
        <v>2714.0076923076922</v>
      </c>
      <c r="D28" s="203">
        <f>SUM(6*B7)*B1</f>
        <v>8142.0230769230766</v>
      </c>
      <c r="E28" s="203"/>
      <c r="F28" s="198" t="s">
        <v>399</v>
      </c>
    </row>
    <row r="29" spans="1:6">
      <c r="A29" s="198" t="s">
        <v>400</v>
      </c>
      <c r="B29" s="203">
        <v>0</v>
      </c>
      <c r="C29" s="203"/>
      <c r="D29" s="203">
        <f>B5/10*F11</f>
        <v>31975.600000000002</v>
      </c>
      <c r="E29" s="203"/>
      <c r="F29" s="198" t="s">
        <v>401</v>
      </c>
    </row>
    <row r="30" spans="1:6">
      <c r="A30" s="217" t="s">
        <v>97</v>
      </c>
      <c r="B30" s="89">
        <f>SUM(B26:B29)</f>
        <v>0</v>
      </c>
      <c r="C30" s="89">
        <f>SUM(C26:C29)</f>
        <v>23114.007692307692</v>
      </c>
      <c r="D30" s="89">
        <f>SUM(D26:D29)</f>
        <v>66117.623076923075</v>
      </c>
      <c r="E30" s="89"/>
    </row>
    <row r="31" spans="1:6">
      <c r="A31" s="222"/>
      <c r="B31" s="191"/>
      <c r="C31" s="191"/>
      <c r="D31" s="191"/>
      <c r="E31" s="191"/>
    </row>
    <row r="33" spans="1:7">
      <c r="A33" s="216" t="s">
        <v>402</v>
      </c>
      <c r="B33" s="199" t="str">
        <f>B9</f>
        <v>Licensing</v>
      </c>
      <c r="C33" s="199" t="str">
        <f>C9</f>
        <v>Point B</v>
      </c>
      <c r="D33" s="411" t="str">
        <f>D25</f>
        <v>Point C</v>
      </c>
      <c r="E33" s="199"/>
    </row>
    <row r="34" spans="1:7">
      <c r="A34" s="198" t="s">
        <v>397</v>
      </c>
      <c r="C34" s="202">
        <f>250*'Cuidado infantil en centros'!F39</f>
        <v>0</v>
      </c>
      <c r="D34" s="202">
        <f>375*'Cuidado infantil en centros'!F39</f>
        <v>0</v>
      </c>
    </row>
    <row r="35" spans="1:7">
      <c r="A35" s="198" t="s">
        <v>403</v>
      </c>
      <c r="C35" s="202">
        <f>SUM('Cuidado infantil en centros'!F39/8)*F35</f>
        <v>0</v>
      </c>
      <c r="D35" s="202">
        <f>SUM('Cuidado infantil en centros'!F39/4)*F35</f>
        <v>0</v>
      </c>
      <c r="F35" s="198">
        <f>'Quality Center Profile'!E24</f>
        <v>65524</v>
      </c>
      <c r="G35" s="198" t="s">
        <v>404</v>
      </c>
    </row>
    <row r="36" spans="1:7">
      <c r="A36" s="217" t="s">
        <v>97</v>
      </c>
      <c r="B36" s="221"/>
      <c r="C36" s="221">
        <f>SUM(C34:C35)</f>
        <v>0</v>
      </c>
      <c r="D36" s="410">
        <f>SUM(D34:D35)</f>
        <v>0</v>
      </c>
      <c r="E36" s="89"/>
    </row>
    <row r="39" spans="1:7">
      <c r="A39" s="216" t="s">
        <v>184</v>
      </c>
      <c r="B39" s="199" t="str">
        <f>B33</f>
        <v>Licensing</v>
      </c>
      <c r="C39" s="199" t="str">
        <f t="shared" ref="C39:D39" si="1">C33</f>
        <v>Point B</v>
      </c>
      <c r="D39" s="199" t="str">
        <f t="shared" si="1"/>
        <v>Point C</v>
      </c>
      <c r="E39" s="199" t="s">
        <v>405</v>
      </c>
    </row>
    <row r="40" spans="1:7">
      <c r="A40" s="198" t="s">
        <v>406</v>
      </c>
      <c r="B40" s="199"/>
      <c r="C40" s="202">
        <f>SUM('Cuidado infantil en centros'!F17*'Cuidado infantil en centros'!F37)*600</f>
        <v>0</v>
      </c>
      <c r="D40" s="199"/>
      <c r="F40" s="198" t="s">
        <v>407</v>
      </c>
    </row>
    <row r="41" spans="1:7">
      <c r="A41" s="198" t="s">
        <v>408</v>
      </c>
      <c r="D41" s="202">
        <f>SUM('Cuidado infantil en centros'!F15:F17)*'Cuidado infantil en centros'!F37*600</f>
        <v>1200</v>
      </c>
    </row>
    <row r="42" spans="1:7">
      <c r="A42" s="198" t="s">
        <v>409</v>
      </c>
      <c r="E42" s="202">
        <f>B7*'Cuidado infantil en centros'!F37*600</f>
        <v>3360.0000000000005</v>
      </c>
    </row>
    <row r="43" spans="1:7">
      <c r="A43" s="217" t="s">
        <v>97</v>
      </c>
      <c r="B43" s="221"/>
      <c r="C43" s="410">
        <f>SUM(C40:C42)</f>
        <v>0</v>
      </c>
      <c r="D43" s="410">
        <f t="shared" ref="D43:E43" si="2">SUM(D40:D42)</f>
        <v>1200</v>
      </c>
      <c r="E43" s="410">
        <f t="shared" si="2"/>
        <v>3360.0000000000005</v>
      </c>
    </row>
    <row r="46" spans="1:7" s="666" customFormat="1"/>
    <row r="47" spans="1:7">
      <c r="A47" s="601" t="s">
        <v>410</v>
      </c>
    </row>
    <row r="48" spans="1:7">
      <c r="A48" s="210" t="s">
        <v>376</v>
      </c>
      <c r="B48" s="211">
        <f>'Quality Home Profile'!C23</f>
        <v>15</v>
      </c>
    </row>
    <row r="49" spans="1:11">
      <c r="A49" s="212" t="s">
        <v>174</v>
      </c>
      <c r="B49" s="213">
        <f>'Quality Home Profile'!A21</f>
        <v>1</v>
      </c>
    </row>
    <row r="50" spans="1:11" s="669" customFormat="1">
      <c r="A50" s="667"/>
      <c r="B50" s="668"/>
    </row>
    <row r="51" spans="1:11">
      <c r="A51" s="214" t="s">
        <v>379</v>
      </c>
      <c r="B51" s="215">
        <f>'Cuidado infantil familiar'!B17</f>
        <v>4</v>
      </c>
      <c r="C51" s="198">
        <f>SUM('Cuidado infantil familiar'!B15:B16)</f>
        <v>0</v>
      </c>
      <c r="D51" s="198" t="s">
        <v>380</v>
      </c>
    </row>
    <row r="53" spans="1:11">
      <c r="A53" s="673" t="s">
        <v>381</v>
      </c>
      <c r="B53" s="199" t="s">
        <v>5</v>
      </c>
      <c r="C53" s="199" t="s">
        <v>382</v>
      </c>
      <c r="D53" s="199" t="s">
        <v>383</v>
      </c>
      <c r="E53" s="199"/>
    </row>
    <row r="54" spans="1:11" ht="12" customHeight="1">
      <c r="A54" s="198" t="s">
        <v>384</v>
      </c>
      <c r="B54" s="198">
        <v>0</v>
      </c>
      <c r="C54" s="203">
        <f>2*B51*B48</f>
        <v>120</v>
      </c>
      <c r="D54" s="203">
        <f>2*B51*B48*2</f>
        <v>240</v>
      </c>
      <c r="E54" s="203"/>
      <c r="F54" s="198" t="s">
        <v>385</v>
      </c>
    </row>
    <row r="55" spans="1:11">
      <c r="A55" s="198" t="s">
        <v>386</v>
      </c>
      <c r="D55" s="90">
        <f>B51/64*F55</f>
        <v>1950</v>
      </c>
      <c r="E55" s="203"/>
      <c r="F55" s="202">
        <f>'Quality Home Profile'!C20</f>
        <v>31200</v>
      </c>
      <c r="G55" s="197" t="s">
        <v>411</v>
      </c>
      <c r="K55" s="254">
        <f>B51/46</f>
        <v>8.6956521739130432E-2</v>
      </c>
    </row>
    <row r="56" spans="1:11">
      <c r="A56" s="217" t="s">
        <v>97</v>
      </c>
      <c r="B56" s="218">
        <f>SUM(B54:B55)</f>
        <v>0</v>
      </c>
      <c r="C56" s="89">
        <f>SUM(C54:C55)</f>
        <v>120</v>
      </c>
      <c r="D56" s="89">
        <f>SUM(D54:D55)</f>
        <v>2190</v>
      </c>
      <c r="E56" s="89"/>
    </row>
    <row r="58" spans="1:11">
      <c r="A58" s="673" t="s">
        <v>388</v>
      </c>
      <c r="B58" s="199" t="str">
        <f>B53</f>
        <v>Licensing</v>
      </c>
      <c r="C58" s="199" t="str">
        <f>C53</f>
        <v>Point B</v>
      </c>
      <c r="D58" s="199" t="str">
        <f>D53</f>
        <v>Point C</v>
      </c>
      <c r="E58" s="199"/>
    </row>
    <row r="59" spans="1:11">
      <c r="A59" s="198" t="s">
        <v>389</v>
      </c>
      <c r="B59" s="219"/>
      <c r="C59" s="219">
        <f>SUM(B48*24)</f>
        <v>360</v>
      </c>
      <c r="D59" s="219">
        <f>SUM(B48*36)</f>
        <v>540</v>
      </c>
      <c r="E59" s="219"/>
      <c r="F59" s="198" t="s">
        <v>390</v>
      </c>
    </row>
    <row r="60" spans="1:11">
      <c r="A60" s="198" t="s">
        <v>391</v>
      </c>
      <c r="B60" s="219"/>
      <c r="C60" s="219">
        <f>SUM(B49*B48)*24</f>
        <v>360</v>
      </c>
      <c r="D60" s="219">
        <f>SUM(B49*B48)*36</f>
        <v>540</v>
      </c>
      <c r="E60" s="219"/>
    </row>
    <row r="61" spans="1:11">
      <c r="A61" s="217" t="s">
        <v>97</v>
      </c>
      <c r="B61" s="220">
        <f>SUM(B59:B60)</f>
        <v>0</v>
      </c>
      <c r="C61" s="220">
        <f>SUM(C59:C60)</f>
        <v>720</v>
      </c>
      <c r="D61" s="220">
        <f>SUM(D59:D60)</f>
        <v>1080</v>
      </c>
      <c r="E61" s="219"/>
    </row>
    <row r="62" spans="1:11">
      <c r="B62" s="219"/>
      <c r="C62" s="219"/>
      <c r="D62" s="219"/>
      <c r="E62" s="219"/>
    </row>
    <row r="63" spans="1:11">
      <c r="A63" s="673" t="s">
        <v>392</v>
      </c>
      <c r="B63" s="411" t="str">
        <f>B53</f>
        <v>Licensing</v>
      </c>
      <c r="C63" s="411" t="str">
        <f t="shared" ref="C63:D63" si="3">C53</f>
        <v>Point B</v>
      </c>
      <c r="D63" s="411" t="str">
        <f t="shared" si="3"/>
        <v>Point C</v>
      </c>
      <c r="E63" s="219"/>
    </row>
    <row r="64" spans="1:11">
      <c r="A64" s="198" t="s">
        <v>412</v>
      </c>
      <c r="B64" s="219">
        <v>0</v>
      </c>
      <c r="C64" s="219">
        <f>10*52*B48</f>
        <v>7800</v>
      </c>
      <c r="D64" s="219">
        <f>20*52*B48</f>
        <v>15600</v>
      </c>
      <c r="E64" s="219"/>
      <c r="F64" s="198" t="s">
        <v>413</v>
      </c>
    </row>
    <row r="65" spans="1:7">
      <c r="A65" s="217" t="s">
        <v>97</v>
      </c>
      <c r="B65" s="220">
        <f>SUM(B64:B64)</f>
        <v>0</v>
      </c>
      <c r="C65" s="220">
        <f>SUM(C64:C64)</f>
        <v>7800</v>
      </c>
      <c r="D65" s="220">
        <f>SUM(D64:D64)</f>
        <v>15600</v>
      </c>
      <c r="E65" s="220"/>
    </row>
    <row r="67" spans="1:7">
      <c r="A67" s="222"/>
      <c r="B67" s="203"/>
      <c r="C67" s="203"/>
      <c r="D67" s="203"/>
      <c r="E67" s="203"/>
    </row>
    <row r="68" spans="1:7">
      <c r="A68" s="673" t="s">
        <v>395</v>
      </c>
      <c r="B68" s="411" t="str">
        <f>B58</f>
        <v>Licensing</v>
      </c>
      <c r="C68" s="411" t="str">
        <f>C58</f>
        <v>Point B</v>
      </c>
      <c r="D68" s="411" t="str">
        <f>D58</f>
        <v>Point C</v>
      </c>
      <c r="E68" s="203"/>
    </row>
    <row r="69" spans="1:7">
      <c r="A69" s="198" t="s">
        <v>396</v>
      </c>
      <c r="B69" s="203">
        <v>0</v>
      </c>
      <c r="C69" s="203">
        <v>1500</v>
      </c>
      <c r="D69" s="203">
        <v>1500</v>
      </c>
      <c r="E69" s="203"/>
    </row>
    <row r="70" spans="1:7">
      <c r="A70" s="198" t="s">
        <v>397</v>
      </c>
      <c r="B70" s="203"/>
      <c r="C70" s="203">
        <f>150*B51</f>
        <v>600</v>
      </c>
      <c r="D70" s="203">
        <f>250*B51</f>
        <v>1000</v>
      </c>
      <c r="E70" s="203"/>
    </row>
    <row r="71" spans="1:7">
      <c r="A71" s="198" t="s">
        <v>398</v>
      </c>
      <c r="B71" s="203">
        <v>0</v>
      </c>
      <c r="C71" s="203">
        <f>SUM(2*B51)*B48</f>
        <v>120</v>
      </c>
      <c r="D71" s="203">
        <f>SUM(6*B51)*B48</f>
        <v>360</v>
      </c>
      <c r="E71" s="203"/>
      <c r="F71" s="198" t="s">
        <v>399</v>
      </c>
    </row>
    <row r="72" spans="1:7">
      <c r="A72" s="198" t="s">
        <v>400</v>
      </c>
      <c r="B72" s="203">
        <v>0</v>
      </c>
      <c r="C72" s="203"/>
      <c r="D72" s="203">
        <f>F55*0.25</f>
        <v>7800</v>
      </c>
      <c r="E72" s="203"/>
      <c r="F72" s="198" t="s">
        <v>414</v>
      </c>
    </row>
    <row r="73" spans="1:7">
      <c r="A73" s="217" t="s">
        <v>97</v>
      </c>
      <c r="B73" s="89">
        <f>SUM(B69:B72)</f>
        <v>0</v>
      </c>
      <c r="C73" s="89">
        <f>SUM(C69:C72)</f>
        <v>2220</v>
      </c>
      <c r="D73" s="89">
        <f>SUM(D69:D72)</f>
        <v>10660</v>
      </c>
      <c r="E73" s="89"/>
    </row>
    <row r="74" spans="1:7">
      <c r="A74" s="222"/>
      <c r="B74" s="191"/>
      <c r="C74" s="191"/>
      <c r="D74" s="191"/>
      <c r="E74" s="191"/>
    </row>
    <row r="76" spans="1:7">
      <c r="A76" s="673" t="s">
        <v>402</v>
      </c>
      <c r="B76" s="199" t="str">
        <f>B53</f>
        <v>Licensing</v>
      </c>
      <c r="C76" s="199" t="str">
        <f>C53</f>
        <v>Point B</v>
      </c>
      <c r="D76" s="411" t="str">
        <f>D68</f>
        <v>Point C</v>
      </c>
      <c r="E76" s="199"/>
    </row>
    <row r="77" spans="1:7">
      <c r="A77" s="198" t="s">
        <v>397</v>
      </c>
      <c r="B77" s="198">
        <v>0</v>
      </c>
      <c r="C77" s="202">
        <v>1000</v>
      </c>
      <c r="D77" s="202">
        <v>1250</v>
      </c>
    </row>
    <row r="78" spans="1:7">
      <c r="A78" s="198" t="s">
        <v>403</v>
      </c>
      <c r="C78" s="202">
        <f>SUM('Cuidado infantil familiar'!F37/8)*F78</f>
        <v>3900</v>
      </c>
      <c r="D78" s="202">
        <f>SUM('Cuidado infantil familiar'!F37/4)*F78</f>
        <v>7800</v>
      </c>
      <c r="F78" s="202">
        <f>'Quality Home Profile'!C19</f>
        <v>31200</v>
      </c>
      <c r="G78" s="198" t="s">
        <v>415</v>
      </c>
    </row>
    <row r="79" spans="1:7">
      <c r="A79" s="217" t="s">
        <v>97</v>
      </c>
      <c r="B79" s="221">
        <f>SUM(B77:B78)</f>
        <v>0</v>
      </c>
      <c r="C79" s="221">
        <f>SUM(C77:C78)</f>
        <v>4900</v>
      </c>
      <c r="D79" s="410">
        <f>SUM(D77:D78)</f>
        <v>9050</v>
      </c>
      <c r="E79" s="89"/>
    </row>
    <row r="82" spans="1:6">
      <c r="A82" s="673" t="s">
        <v>184</v>
      </c>
      <c r="B82" s="199" t="str">
        <f>B76</f>
        <v>Licensing</v>
      </c>
      <c r="C82" s="199" t="str">
        <f t="shared" ref="C82:D82" si="4">C76</f>
        <v>Point B</v>
      </c>
      <c r="D82" s="199" t="str">
        <f t="shared" si="4"/>
        <v>Point C</v>
      </c>
      <c r="E82" s="199" t="s">
        <v>405</v>
      </c>
    </row>
    <row r="83" spans="1:6">
      <c r="A83" s="198" t="s">
        <v>406</v>
      </c>
      <c r="B83" s="199"/>
      <c r="C83" s="202">
        <f>SUM('Cuidado infantil familiar'!B16*'Cuidado infantil familiar'!F35)*600</f>
        <v>0</v>
      </c>
      <c r="D83" s="199"/>
      <c r="F83" s="198" t="s">
        <v>407</v>
      </c>
    </row>
    <row r="84" spans="1:6">
      <c r="A84" s="198" t="s">
        <v>408</v>
      </c>
      <c r="D84" s="202">
        <f>SUM(C51*'Cuidado infantil familiar'!F35*600)</f>
        <v>0</v>
      </c>
    </row>
    <row r="85" spans="1:6">
      <c r="A85" s="198" t="s">
        <v>409</v>
      </c>
      <c r="E85" s="202">
        <f>B51*'Cuidado infantil familiar'!F35*600</f>
        <v>2400</v>
      </c>
    </row>
    <row r="86" spans="1:6">
      <c r="A86" s="217" t="s">
        <v>97</v>
      </c>
      <c r="B86" s="221"/>
      <c r="C86" s="410">
        <f>SUM(C83:C85)</f>
        <v>0</v>
      </c>
      <c r="D86" s="410">
        <f t="shared" ref="D86:E86" si="5">SUM(D83:D85)</f>
        <v>0</v>
      </c>
      <c r="E86" s="410">
        <f t="shared" si="5"/>
        <v>2400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5213-C695-084A-9AED-39EF5A4B6C60}">
  <sheetPr codeName="Sheet4">
    <tabColor theme="0" tint="-0.14999847407452621"/>
  </sheetPr>
  <dimension ref="A1:J54"/>
  <sheetViews>
    <sheetView workbookViewId="0"/>
  </sheetViews>
  <sheetFormatPr defaultColWidth="10.85546875" defaultRowHeight="12.95"/>
  <cols>
    <col min="1" max="1" width="26.7109375" style="198" customWidth="1"/>
    <col min="2" max="2" width="14.7109375" style="198" bestFit="1" customWidth="1"/>
    <col min="3" max="3" width="13.140625" style="198" customWidth="1"/>
    <col min="4" max="4" width="14" style="198" customWidth="1"/>
    <col min="5" max="5" width="15.42578125" style="198" customWidth="1"/>
    <col min="6" max="6" width="16.28515625" style="198" customWidth="1"/>
    <col min="7" max="7" width="16.140625" style="198" customWidth="1"/>
    <col min="8" max="8" width="16" style="198" customWidth="1"/>
    <col min="9" max="9" width="11.140625" style="198" bestFit="1" customWidth="1"/>
    <col min="10" max="16384" width="10.85546875" style="198"/>
  </cols>
  <sheetData>
    <row r="1" spans="1:10">
      <c r="A1" s="222" t="s">
        <v>416</v>
      </c>
      <c r="B1" s="268" t="str">
        <f>'Cuidado infantil en centros'!C6</f>
        <v>En todo el estado</v>
      </c>
      <c r="D1" s="198" t="s">
        <v>417</v>
      </c>
      <c r="E1" s="268" t="str">
        <f>'Cuidado infantil familiar'!C7</f>
        <v>Urbano</v>
      </c>
    </row>
    <row r="2" spans="1:10">
      <c r="B2" s="199"/>
      <c r="C2" s="199"/>
      <c r="D2" s="199"/>
      <c r="E2" s="890"/>
      <c r="F2" s="890"/>
    </row>
    <row r="3" spans="1:10">
      <c r="A3" s="394"/>
      <c r="B3" s="392" t="s">
        <v>418</v>
      </c>
      <c r="C3" s="392" t="s">
        <v>419</v>
      </c>
      <c r="D3" s="392" t="s">
        <v>420</v>
      </c>
      <c r="E3" s="393" t="s">
        <v>421</v>
      </c>
      <c r="F3" s="393" t="s">
        <v>422</v>
      </c>
      <c r="G3" s="200" t="str">
        <f t="shared" ref="G3:H3" si="0">G9</f>
        <v>Floater</v>
      </c>
      <c r="H3" s="200" t="str">
        <f t="shared" si="0"/>
        <v>Substitute</v>
      </c>
      <c r="I3" s="198" t="s">
        <v>423</v>
      </c>
      <c r="J3" s="198" t="s">
        <v>424</v>
      </c>
    </row>
    <row r="4" spans="1:10">
      <c r="A4" s="394" t="s">
        <v>425</v>
      </c>
      <c r="B4" s="395">
        <f>IF($B$1="Urban",B10,IF($B$1="Rural",B11,B12))</f>
        <v>66322</v>
      </c>
      <c r="C4" s="395">
        <f t="shared" ref="C4:H4" si="1">IF($B$1="Urban",C10,IF($B$1="Rural",C11,C12))</f>
        <v>53058</v>
      </c>
      <c r="D4" s="395">
        <f t="shared" si="1"/>
        <v>31200</v>
      </c>
      <c r="E4" s="395">
        <f t="shared" si="1"/>
        <v>47825</v>
      </c>
      <c r="F4" s="395">
        <f t="shared" si="1"/>
        <v>31200</v>
      </c>
      <c r="G4" s="395">
        <f t="shared" si="1"/>
        <v>31200</v>
      </c>
      <c r="H4" s="395">
        <f t="shared" si="1"/>
        <v>31200</v>
      </c>
      <c r="I4" s="322">
        <f>IF(E$1="Urban",E10/2080*2860,IF(E$1="Rural",E11/2080*2860,E12/2080*2860))</f>
        <v>65759.375</v>
      </c>
      <c r="J4" s="322">
        <f>IF(E$1="Urban",F10,IF(E$1="Rural",F11,F12))</f>
        <v>31200</v>
      </c>
    </row>
    <row r="5" spans="1:10">
      <c r="A5" s="394" t="s">
        <v>426</v>
      </c>
      <c r="B5" s="395">
        <f>IF($B$1="Urban",B15,IF($B$1="Rural",B16,B17))</f>
        <v>96727</v>
      </c>
      <c r="C5" s="395">
        <f t="shared" ref="C5:H5" si="2">IF($B$1="Urban",C15,IF($B$1="Rural",C16,C17))</f>
        <v>79939</v>
      </c>
      <c r="D5" s="395">
        <f t="shared" si="2"/>
        <v>41370</v>
      </c>
      <c r="E5" s="395">
        <f t="shared" si="2"/>
        <v>65524</v>
      </c>
      <c r="F5" s="395">
        <f t="shared" si="2"/>
        <v>50403</v>
      </c>
      <c r="G5" s="395">
        <f t="shared" si="2"/>
        <v>50403</v>
      </c>
      <c r="H5" s="395">
        <f t="shared" si="2"/>
        <v>50403</v>
      </c>
      <c r="I5" s="322">
        <f>IF(E$1="Urban",E15/2080*2860,IF(E$1="Rural",E16/2080*2860,E17/2080*2860))</f>
        <v>90095.5</v>
      </c>
      <c r="J5" s="322">
        <f>IF(E$1="Urban",F15,IF(E$1="Rural",F16,F17))</f>
        <v>50403</v>
      </c>
    </row>
    <row r="6" spans="1:10">
      <c r="A6" s="394" t="s">
        <v>427</v>
      </c>
      <c r="B6" s="395">
        <f>IF($B$1="Urban",B20,IF($B$1="Rural",B21,B22))</f>
        <v>116743</v>
      </c>
      <c r="C6" s="395">
        <f t="shared" ref="C6:H6" si="3">IF($B$1="Urban",C20,IF($B$1="Rural",C21,C22))</f>
        <v>93395</v>
      </c>
      <c r="D6" s="395">
        <f t="shared" si="3"/>
        <v>54920</v>
      </c>
      <c r="E6" s="395">
        <f t="shared" si="3"/>
        <v>84184</v>
      </c>
      <c r="F6" s="395">
        <f t="shared" si="3"/>
        <v>54920</v>
      </c>
      <c r="G6" s="395">
        <f t="shared" si="3"/>
        <v>54920</v>
      </c>
      <c r="H6" s="395">
        <f t="shared" si="3"/>
        <v>54920</v>
      </c>
      <c r="I6" s="322">
        <f>IF(E$1="Urban",E20/2080*2860,IF(E$1="Rural",E21/2080*2860,E22/2080*2860))</f>
        <v>115753</v>
      </c>
      <c r="J6" s="322">
        <f>IF(E$1="Urban",F20,IF(E$1="Rural",F21,F22))</f>
        <v>54920</v>
      </c>
    </row>
    <row r="7" spans="1:10">
      <c r="A7" s="394" t="s">
        <v>428</v>
      </c>
      <c r="B7" s="395">
        <f>IF($B$1="Urban",B25,IF($B$1="Rural",B26,B27))</f>
        <v>100000</v>
      </c>
      <c r="C7" s="395">
        <f t="shared" ref="C7:H7" si="4">IF($B$1="Urban",C25,IF($B$1="Rural",C26,C27))</f>
        <v>80000</v>
      </c>
      <c r="D7" s="395">
        <f t="shared" si="4"/>
        <v>40000</v>
      </c>
      <c r="E7" s="395">
        <f t="shared" si="4"/>
        <v>50000</v>
      </c>
      <c r="F7" s="395">
        <f t="shared" si="4"/>
        <v>40000</v>
      </c>
      <c r="G7" s="395">
        <f t="shared" si="4"/>
        <v>40000</v>
      </c>
      <c r="H7" s="395">
        <f t="shared" si="4"/>
        <v>40000</v>
      </c>
      <c r="I7" s="322">
        <f>'Cuidado infantil familiar'!I20</f>
        <v>20000</v>
      </c>
      <c r="J7" s="202">
        <f>'Cuidado infantil familiar'!I21</f>
        <v>10000</v>
      </c>
    </row>
    <row r="8" spans="1:10">
      <c r="A8" s="199"/>
      <c r="B8" s="320"/>
      <c r="C8" s="320"/>
      <c r="D8" s="320"/>
      <c r="E8" s="321"/>
      <c r="F8" s="321"/>
      <c r="G8" s="322"/>
      <c r="H8" s="322"/>
    </row>
    <row r="9" spans="1:10">
      <c r="A9" s="199" t="str">
        <f>A4</f>
        <v>Current (BLS, MW Adj)</v>
      </c>
      <c r="B9" s="323" t="s">
        <v>418</v>
      </c>
      <c r="C9" s="323" t="s">
        <v>419</v>
      </c>
      <c r="D9" s="323" t="s">
        <v>420</v>
      </c>
      <c r="E9" s="324" t="s">
        <v>421</v>
      </c>
      <c r="F9" s="324" t="s">
        <v>422</v>
      </c>
      <c r="G9" s="323" t="s">
        <v>429</v>
      </c>
      <c r="H9" s="323" t="s">
        <v>430</v>
      </c>
    </row>
    <row r="10" spans="1:10">
      <c r="A10" s="201" t="s">
        <v>364</v>
      </c>
      <c r="B10" s="325">
        <f>B12</f>
        <v>66322</v>
      </c>
      <c r="C10" s="325">
        <f t="shared" ref="C10:H10" si="5">C12</f>
        <v>53058</v>
      </c>
      <c r="D10" s="712">
        <f>F10</f>
        <v>31200</v>
      </c>
      <c r="E10" s="325">
        <f t="shared" si="5"/>
        <v>47825</v>
      </c>
      <c r="F10" s="325">
        <f t="shared" si="5"/>
        <v>31200</v>
      </c>
      <c r="G10" s="325">
        <f t="shared" si="5"/>
        <v>31200</v>
      </c>
      <c r="H10" s="325">
        <f t="shared" si="5"/>
        <v>31200</v>
      </c>
    </row>
    <row r="11" spans="1:10">
      <c r="A11" s="201" t="s">
        <v>16</v>
      </c>
      <c r="B11" s="325">
        <f>B12</f>
        <v>66322</v>
      </c>
      <c r="C11" s="325">
        <f t="shared" ref="C11:H11" si="6">C12</f>
        <v>53058</v>
      </c>
      <c r="D11" s="712">
        <f t="shared" ref="D11:D12" si="7">F11</f>
        <v>31200</v>
      </c>
      <c r="E11" s="325">
        <f t="shared" si="6"/>
        <v>47825</v>
      </c>
      <c r="F11" s="325">
        <f t="shared" si="6"/>
        <v>31200</v>
      </c>
      <c r="G11" s="325">
        <f t="shared" si="6"/>
        <v>31200</v>
      </c>
      <c r="H11" s="325">
        <f t="shared" si="6"/>
        <v>31200</v>
      </c>
    </row>
    <row r="12" spans="1:10" ht="15">
      <c r="A12" s="201" t="s">
        <v>367</v>
      </c>
      <c r="B12" s="325">
        <v>66322</v>
      </c>
      <c r="C12" s="325">
        <v>53058</v>
      </c>
      <c r="D12" s="712">
        <f t="shared" si="7"/>
        <v>31200</v>
      </c>
      <c r="E12" s="327">
        <v>47825</v>
      </c>
      <c r="F12" s="328">
        <v>31200</v>
      </c>
      <c r="G12" s="328">
        <f>F12</f>
        <v>31200</v>
      </c>
      <c r="H12" s="328">
        <f t="shared" ref="H12" si="8">G12</f>
        <v>31200</v>
      </c>
    </row>
    <row r="13" spans="1:10" ht="15">
      <c r="A13" s="403"/>
      <c r="B13" s="325"/>
      <c r="C13" s="325"/>
      <c r="D13" s="326"/>
      <c r="E13" s="327"/>
      <c r="F13" s="328"/>
      <c r="G13" s="328"/>
      <c r="H13" s="328"/>
    </row>
    <row r="14" spans="1:10" ht="12" customHeight="1">
      <c r="A14" s="199" t="str">
        <f>A5</f>
        <v>Living Wage</v>
      </c>
      <c r="B14" s="323" t="s">
        <v>418</v>
      </c>
      <c r="C14" s="323" t="s">
        <v>419</v>
      </c>
      <c r="D14" s="323" t="s">
        <v>420</v>
      </c>
      <c r="E14" s="324" t="s">
        <v>421</v>
      </c>
      <c r="F14" s="324" t="s">
        <v>422</v>
      </c>
      <c r="G14" s="323" t="s">
        <v>429</v>
      </c>
      <c r="H14" s="323" t="s">
        <v>430</v>
      </c>
    </row>
    <row r="15" spans="1:10" ht="15">
      <c r="A15" s="201" t="str">
        <f>A10</f>
        <v>Urban</v>
      </c>
      <c r="B15" s="390">
        <v>124423</v>
      </c>
      <c r="C15" s="330">
        <v>102829</v>
      </c>
      <c r="D15" s="713">
        <f>G15</f>
        <v>64835</v>
      </c>
      <c r="E15" s="327">
        <v>84286</v>
      </c>
      <c r="F15" s="328">
        <v>64835</v>
      </c>
      <c r="G15" s="391">
        <v>64835</v>
      </c>
      <c r="H15" s="391">
        <v>64835</v>
      </c>
      <c r="I15" s="562">
        <f>E15/2080*2860</f>
        <v>115893.25</v>
      </c>
    </row>
    <row r="16" spans="1:10" ht="15">
      <c r="A16" s="201" t="str">
        <f t="shared" ref="A16:A17" si="9">A11</f>
        <v>Rural</v>
      </c>
      <c r="B16" s="390">
        <v>92862</v>
      </c>
      <c r="C16" s="330">
        <v>76770</v>
      </c>
      <c r="D16" s="713">
        <v>48405</v>
      </c>
      <c r="E16" s="327">
        <v>62926</v>
      </c>
      <c r="F16" s="328">
        <v>48405</v>
      </c>
      <c r="G16" s="391">
        <v>48405</v>
      </c>
      <c r="H16" s="391">
        <v>48405</v>
      </c>
      <c r="I16" s="562">
        <f t="shared" ref="I16:I17" si="10">E16/2080*2860</f>
        <v>86523.25</v>
      </c>
    </row>
    <row r="17" spans="1:9" ht="15">
      <c r="A17" s="201" t="str">
        <f t="shared" si="9"/>
        <v>Statewide</v>
      </c>
      <c r="B17" s="390">
        <v>96727</v>
      </c>
      <c r="C17" s="330">
        <v>79939</v>
      </c>
      <c r="D17" s="713">
        <v>41370</v>
      </c>
      <c r="E17" s="327">
        <v>65524</v>
      </c>
      <c r="F17" s="328">
        <v>50403</v>
      </c>
      <c r="G17" s="391">
        <f t="shared" ref="G17" si="11">F17</f>
        <v>50403</v>
      </c>
      <c r="H17" s="391">
        <f t="shared" ref="H17" si="12">G17</f>
        <v>50403</v>
      </c>
      <c r="I17" s="562">
        <f t="shared" si="10"/>
        <v>90095.5</v>
      </c>
    </row>
    <row r="18" spans="1:9">
      <c r="B18" s="322"/>
      <c r="C18" s="322"/>
      <c r="D18" s="322"/>
      <c r="E18" s="322"/>
      <c r="F18" s="322"/>
      <c r="G18" s="322"/>
      <c r="H18" s="322"/>
    </row>
    <row r="19" spans="1:9">
      <c r="A19" s="199" t="str">
        <f>A6</f>
        <v>K-parity</v>
      </c>
      <c r="B19" s="323" t="s">
        <v>418</v>
      </c>
      <c r="C19" s="323" t="s">
        <v>419</v>
      </c>
      <c r="D19" s="323" t="s">
        <v>420</v>
      </c>
      <c r="E19" s="324" t="s">
        <v>421</v>
      </c>
      <c r="F19" s="324" t="s">
        <v>422</v>
      </c>
      <c r="G19" s="323" t="s">
        <v>429</v>
      </c>
      <c r="H19" s="323" t="s">
        <v>430</v>
      </c>
    </row>
    <row r="20" spans="1:9">
      <c r="A20" s="201" t="str">
        <f>A15</f>
        <v>Urban</v>
      </c>
      <c r="B20" s="326">
        <f>B21</f>
        <v>116743</v>
      </c>
      <c r="C20" s="326">
        <f t="shared" ref="C20:H21" si="13">C21</f>
        <v>93395</v>
      </c>
      <c r="D20" s="712">
        <f>G20</f>
        <v>54920</v>
      </c>
      <c r="E20" s="326">
        <f t="shared" si="13"/>
        <v>84184</v>
      </c>
      <c r="F20" s="326">
        <f t="shared" si="13"/>
        <v>54920</v>
      </c>
      <c r="G20" s="326">
        <f t="shared" si="13"/>
        <v>54920</v>
      </c>
      <c r="H20" s="326">
        <f t="shared" si="13"/>
        <v>54920</v>
      </c>
    </row>
    <row r="21" spans="1:9">
      <c r="A21" s="201" t="str">
        <f t="shared" ref="A21:A22" si="14">A16</f>
        <v>Rural</v>
      </c>
      <c r="B21" s="326">
        <f>B22</f>
        <v>116743</v>
      </c>
      <c r="C21" s="326">
        <f t="shared" si="13"/>
        <v>93395</v>
      </c>
      <c r="D21" s="712">
        <f t="shared" ref="D21:D22" si="15">G21</f>
        <v>54920</v>
      </c>
      <c r="E21" s="326">
        <f t="shared" si="13"/>
        <v>84184</v>
      </c>
      <c r="F21" s="326">
        <f t="shared" si="13"/>
        <v>54920</v>
      </c>
      <c r="G21" s="326">
        <f t="shared" si="13"/>
        <v>54920</v>
      </c>
      <c r="H21" s="326">
        <f t="shared" si="13"/>
        <v>54920</v>
      </c>
    </row>
    <row r="22" spans="1:9" ht="15">
      <c r="A22" s="201" t="str">
        <f t="shared" si="14"/>
        <v>Statewide</v>
      </c>
      <c r="B22" s="326">
        <v>116743</v>
      </c>
      <c r="C22" s="329">
        <v>93395</v>
      </c>
      <c r="D22" s="712">
        <f t="shared" si="15"/>
        <v>54920</v>
      </c>
      <c r="E22" s="327">
        <v>84184</v>
      </c>
      <c r="F22" s="328">
        <v>54920</v>
      </c>
      <c r="G22" s="391">
        <f t="shared" ref="G22" si="16">F22</f>
        <v>54920</v>
      </c>
      <c r="H22" s="328">
        <f t="shared" ref="H22" si="17">G22</f>
        <v>54920</v>
      </c>
    </row>
    <row r="23" spans="1:9" ht="18" customHeight="1">
      <c r="B23" s="322"/>
      <c r="C23" s="322"/>
      <c r="D23" s="322"/>
      <c r="E23" s="322"/>
      <c r="F23" s="322"/>
      <c r="G23" s="322"/>
      <c r="H23" s="322"/>
    </row>
    <row r="24" spans="1:9">
      <c r="A24" s="199" t="str">
        <f>A7</f>
        <v>User entered</v>
      </c>
      <c r="B24" s="323" t="s">
        <v>418</v>
      </c>
      <c r="C24" s="323" t="s">
        <v>419</v>
      </c>
      <c r="D24" s="323" t="s">
        <v>420</v>
      </c>
      <c r="E24" s="324" t="s">
        <v>421</v>
      </c>
      <c r="F24" s="324" t="s">
        <v>422</v>
      </c>
      <c r="G24" s="323" t="s">
        <v>429</v>
      </c>
      <c r="H24" s="323" t="s">
        <v>430</v>
      </c>
    </row>
    <row r="25" spans="1:9">
      <c r="A25" s="201" t="str">
        <f>A20</f>
        <v>Urban</v>
      </c>
      <c r="B25" s="330">
        <f>B26</f>
        <v>100000</v>
      </c>
      <c r="C25" s="330">
        <f t="shared" ref="C25:H26" si="18">C26</f>
        <v>80000</v>
      </c>
      <c r="D25" s="330">
        <f t="shared" si="18"/>
        <v>40000</v>
      </c>
      <c r="E25" s="330">
        <f t="shared" si="18"/>
        <v>50000</v>
      </c>
      <c r="F25" s="330">
        <f t="shared" si="18"/>
        <v>40000</v>
      </c>
      <c r="G25" s="330">
        <f t="shared" si="18"/>
        <v>40000</v>
      </c>
      <c r="H25" s="330">
        <f t="shared" si="18"/>
        <v>40000</v>
      </c>
    </row>
    <row r="26" spans="1:9">
      <c r="A26" s="201" t="str">
        <f t="shared" ref="A26:A27" si="19">A21</f>
        <v>Rural</v>
      </c>
      <c r="B26" s="325">
        <f>B27</f>
        <v>100000</v>
      </c>
      <c r="C26" s="325">
        <f t="shared" si="18"/>
        <v>80000</v>
      </c>
      <c r="D26" s="325">
        <f t="shared" si="18"/>
        <v>40000</v>
      </c>
      <c r="E26" s="325">
        <f t="shared" si="18"/>
        <v>50000</v>
      </c>
      <c r="F26" s="325">
        <f t="shared" si="18"/>
        <v>40000</v>
      </c>
      <c r="G26" s="325">
        <f t="shared" si="18"/>
        <v>40000</v>
      </c>
      <c r="H26" s="325">
        <f t="shared" si="18"/>
        <v>40000</v>
      </c>
    </row>
    <row r="27" spans="1:9" ht="15">
      <c r="A27" s="201" t="str">
        <f t="shared" si="19"/>
        <v>Statewide</v>
      </c>
      <c r="B27" s="325">
        <f>'Cuidado infantil en centros'!I25</f>
        <v>100000</v>
      </c>
      <c r="C27" s="330">
        <f t="shared" ref="C27" si="20">B27*0.8</f>
        <v>80000</v>
      </c>
      <c r="D27" s="329">
        <f t="shared" ref="D27" si="21">F27</f>
        <v>40000</v>
      </c>
      <c r="E27" s="327">
        <f>'Cuidado infantil en centros'!I23</f>
        <v>50000</v>
      </c>
      <c r="F27" s="328">
        <f>'Cuidado infantil en centros'!I24</f>
        <v>40000</v>
      </c>
      <c r="G27" s="391">
        <f>F27</f>
        <v>40000</v>
      </c>
      <c r="H27" s="328">
        <f>G27</f>
        <v>40000</v>
      </c>
    </row>
    <row r="48" spans="2:4">
      <c r="B48" s="198" t="s">
        <v>431</v>
      </c>
      <c r="C48" s="198">
        <f t="shared" ref="C48:C49" si="22">D48*2080</f>
        <v>48921.599999999999</v>
      </c>
      <c r="D48" s="198">
        <v>23.52</v>
      </c>
    </row>
    <row r="49" spans="2:5">
      <c r="B49" s="198" t="s">
        <v>432</v>
      </c>
      <c r="C49" s="198">
        <f t="shared" si="22"/>
        <v>43409.599999999999</v>
      </c>
      <c r="D49" s="198">
        <v>20.87</v>
      </c>
    </row>
    <row r="50" spans="2:5">
      <c r="B50" s="198" t="s">
        <v>433</v>
      </c>
      <c r="C50" s="198">
        <f>D50*2080</f>
        <v>34652.800000000003</v>
      </c>
      <c r="D50" s="198">
        <v>16.66</v>
      </c>
      <c r="E50" s="198">
        <v>40222</v>
      </c>
    </row>
    <row r="51" spans="2:5">
      <c r="C51" s="198">
        <f t="shared" ref="C51:C54" si="23">D51*2080</f>
        <v>25168</v>
      </c>
      <c r="D51" s="198">
        <v>12.1</v>
      </c>
      <c r="E51" s="198">
        <v>25000</v>
      </c>
    </row>
    <row r="52" spans="2:5">
      <c r="C52" s="198">
        <f t="shared" si="23"/>
        <v>30721.599999999999</v>
      </c>
      <c r="D52" s="198">
        <v>14.77</v>
      </c>
    </row>
    <row r="53" spans="2:5">
      <c r="C53" s="198">
        <f t="shared" si="23"/>
        <v>21236.800000000003</v>
      </c>
      <c r="D53" s="198">
        <v>10.210000000000001</v>
      </c>
    </row>
    <row r="54" spans="2:5">
      <c r="C54" s="198">
        <f t="shared" si="23"/>
        <v>24731.200000000001</v>
      </c>
      <c r="D54" s="198">
        <v>11.89</v>
      </c>
    </row>
  </sheetData>
  <mergeCells count="1">
    <mergeCell ref="E2:F2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2153-DDAE-BA49-BC39-D382CDECD0A5}">
  <sheetPr codeName="Sheet5">
    <tabColor theme="0" tint="-0.14999847407452621"/>
  </sheetPr>
  <dimension ref="A1:D16"/>
  <sheetViews>
    <sheetView workbookViewId="0"/>
  </sheetViews>
  <sheetFormatPr defaultColWidth="11.42578125" defaultRowHeight="12.95"/>
  <cols>
    <col min="1" max="1" width="15.140625" customWidth="1"/>
    <col min="3" max="3" width="13" customWidth="1"/>
    <col min="4" max="4" width="16" customWidth="1"/>
  </cols>
  <sheetData>
    <row r="1" spans="1:4" s="81" customFormat="1">
      <c r="A1" s="80" t="s">
        <v>434</v>
      </c>
    </row>
    <row r="2" spans="1:4" s="1" customFormat="1">
      <c r="A2" s="62" t="s">
        <v>173</v>
      </c>
      <c r="B2" s="62" t="s">
        <v>5</v>
      </c>
      <c r="C2" s="62" t="s">
        <v>2</v>
      </c>
      <c r="D2" s="62" t="s">
        <v>3</v>
      </c>
    </row>
    <row r="3" spans="1:4" ht="14.1">
      <c r="A3" s="810" t="s">
        <v>289</v>
      </c>
      <c r="B3" s="86">
        <v>4</v>
      </c>
      <c r="C3" s="86">
        <v>4</v>
      </c>
      <c r="D3" s="86">
        <v>3</v>
      </c>
    </row>
    <row r="4" spans="1:4" ht="14.1">
      <c r="A4" s="810" t="s">
        <v>290</v>
      </c>
      <c r="B4" s="86">
        <v>6</v>
      </c>
      <c r="C4" s="86">
        <v>4</v>
      </c>
      <c r="D4" s="86">
        <v>4</v>
      </c>
    </row>
    <row r="5" spans="1:4" ht="14.1">
      <c r="A5" s="810" t="s">
        <v>104</v>
      </c>
      <c r="B5" s="86">
        <v>6</v>
      </c>
      <c r="C5" s="86">
        <v>6</v>
      </c>
      <c r="D5" s="86">
        <v>4</v>
      </c>
    </row>
    <row r="6" spans="1:4" ht="14.1">
      <c r="A6" s="810" t="s">
        <v>105</v>
      </c>
      <c r="B6" s="86">
        <v>10</v>
      </c>
      <c r="C6" s="86">
        <v>8</v>
      </c>
      <c r="D6" s="86">
        <v>7</v>
      </c>
    </row>
    <row r="7" spans="1:4" ht="14.1">
      <c r="A7" s="810" t="s">
        <v>107</v>
      </c>
      <c r="B7" s="86">
        <v>12</v>
      </c>
      <c r="C7" s="86">
        <v>10</v>
      </c>
      <c r="D7" s="86">
        <v>8</v>
      </c>
    </row>
    <row r="8" spans="1:4" ht="14.1">
      <c r="A8" s="810" t="s">
        <v>73</v>
      </c>
      <c r="B8" s="86">
        <v>15</v>
      </c>
      <c r="C8" s="86">
        <v>15</v>
      </c>
      <c r="D8" s="86">
        <v>12</v>
      </c>
    </row>
    <row r="10" spans="1:4" s="1" customFormat="1">
      <c r="A10" s="62" t="s">
        <v>435</v>
      </c>
      <c r="B10" s="62" t="str">
        <f>B2</f>
        <v>Licensing</v>
      </c>
      <c r="C10" s="62"/>
      <c r="D10" s="62"/>
    </row>
    <row r="11" spans="1:4" ht="14.1">
      <c r="A11" s="810" t="s">
        <v>289</v>
      </c>
      <c r="B11" s="86">
        <v>12</v>
      </c>
      <c r="C11" s="86">
        <f>C3*2</f>
        <v>8</v>
      </c>
      <c r="D11" s="86">
        <f>D3*2</f>
        <v>6</v>
      </c>
    </row>
    <row r="12" spans="1:4" ht="14.1">
      <c r="A12" s="810" t="s">
        <v>290</v>
      </c>
      <c r="B12" s="86">
        <v>12</v>
      </c>
      <c r="C12" s="86">
        <f t="shared" ref="C12:D12" si="0">C4*2</f>
        <v>8</v>
      </c>
      <c r="D12" s="86">
        <f t="shared" si="0"/>
        <v>8</v>
      </c>
    </row>
    <row r="13" spans="1:4" ht="14.1">
      <c r="A13" s="810" t="s">
        <v>104</v>
      </c>
      <c r="B13" s="204">
        <v>12</v>
      </c>
      <c r="C13" s="86">
        <f t="shared" ref="C13:D13" si="1">C5*2</f>
        <v>12</v>
      </c>
      <c r="D13" s="86">
        <f t="shared" si="1"/>
        <v>8</v>
      </c>
    </row>
    <row r="14" spans="1:4" ht="14.1">
      <c r="A14" s="810" t="s">
        <v>105</v>
      </c>
      <c r="B14" s="204">
        <v>20</v>
      </c>
      <c r="C14" s="86">
        <f t="shared" ref="C14:D14" si="2">C6*2</f>
        <v>16</v>
      </c>
      <c r="D14" s="86">
        <f t="shared" si="2"/>
        <v>14</v>
      </c>
    </row>
    <row r="15" spans="1:4" ht="14.1">
      <c r="A15" s="810" t="s">
        <v>107</v>
      </c>
      <c r="B15" s="204">
        <v>24</v>
      </c>
      <c r="C15" s="86">
        <f t="shared" ref="C15:D15" si="3">C7*2</f>
        <v>20</v>
      </c>
      <c r="D15" s="86">
        <f t="shared" si="3"/>
        <v>16</v>
      </c>
    </row>
    <row r="16" spans="1:4" ht="14.1">
      <c r="A16" s="810" t="s">
        <v>73</v>
      </c>
      <c r="B16" s="204">
        <v>30</v>
      </c>
      <c r="C16" s="86">
        <f t="shared" ref="C16:D16" si="4">C8*2</f>
        <v>30</v>
      </c>
      <c r="D16" s="86">
        <f t="shared" si="4"/>
        <v>24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0.14999847407452621"/>
  </sheetPr>
  <dimension ref="A1:R94"/>
  <sheetViews>
    <sheetView workbookViewId="0"/>
  </sheetViews>
  <sheetFormatPr defaultColWidth="8.85546875" defaultRowHeight="12.95"/>
  <cols>
    <col min="1" max="1" width="32.140625" customWidth="1"/>
    <col min="2" max="2" width="13.7109375" style="27" customWidth="1"/>
    <col min="3" max="3" width="11.7109375" customWidth="1"/>
    <col min="4" max="4" width="19.7109375" customWidth="1"/>
    <col min="5" max="5" width="16.7109375" customWidth="1"/>
    <col min="6" max="6" width="11.85546875" customWidth="1"/>
    <col min="7" max="7" width="10.7109375" customWidth="1"/>
    <col min="8" max="8" width="18.42578125" hidden="1" customWidth="1"/>
    <col min="9" max="9" width="11.42578125" hidden="1" customWidth="1"/>
    <col min="10" max="11" width="13.42578125" hidden="1" customWidth="1"/>
    <col min="12" max="12" width="11.85546875" hidden="1" customWidth="1"/>
    <col min="13" max="13" width="11.42578125" hidden="1" customWidth="1"/>
    <col min="14" max="14" width="13.42578125" hidden="1" customWidth="1"/>
    <col min="15" max="15" width="10.42578125" hidden="1" customWidth="1"/>
    <col min="16" max="16" width="10.42578125" bestFit="1" customWidth="1"/>
    <col min="17" max="17" width="11.42578125" bestFit="1" customWidth="1"/>
    <col min="18" max="18" width="10.42578125" bestFit="1" customWidth="1"/>
  </cols>
  <sheetData>
    <row r="1" spans="1:18" ht="29.25" customHeight="1">
      <c r="A1" s="1"/>
      <c r="B1" s="34" t="s">
        <v>436</v>
      </c>
      <c r="C1" s="35" t="s">
        <v>437</v>
      </c>
      <c r="D1" s="35" t="s">
        <v>364</v>
      </c>
      <c r="E1" s="35" t="s">
        <v>16</v>
      </c>
      <c r="F1" s="35"/>
    </row>
    <row r="2" spans="1:18">
      <c r="A2" s="19" t="s">
        <v>438</v>
      </c>
      <c r="B2" s="28">
        <f>'Cuidado infantil en centros'!F18</f>
        <v>56</v>
      </c>
      <c r="C2" s="19"/>
      <c r="D2">
        <f>B2</f>
        <v>56</v>
      </c>
      <c r="E2">
        <f>B2</f>
        <v>56</v>
      </c>
    </row>
    <row r="3" spans="1:18">
      <c r="A3" s="19" t="s">
        <v>175</v>
      </c>
      <c r="B3" s="28">
        <f>'Cuidado infantil en centros'!C18</f>
        <v>4</v>
      </c>
      <c r="C3" s="19"/>
      <c r="D3">
        <f>B3</f>
        <v>4</v>
      </c>
      <c r="E3">
        <f>B3</f>
        <v>4</v>
      </c>
    </row>
    <row r="4" spans="1:18" ht="24" customHeight="1">
      <c r="A4" s="3" t="s">
        <v>439</v>
      </c>
      <c r="C4" s="19"/>
      <c r="D4" s="61">
        <v>1.04</v>
      </c>
      <c r="E4" s="61">
        <v>0.97</v>
      </c>
      <c r="G4" s="19" t="s">
        <v>440</v>
      </c>
      <c r="H4" t="s">
        <v>441</v>
      </c>
      <c r="I4" t="s">
        <v>442</v>
      </c>
      <c r="J4" t="s">
        <v>443</v>
      </c>
    </row>
    <row r="5" spans="1:18" s="29" customFormat="1">
      <c r="A5" s="36" t="s">
        <v>444</v>
      </c>
      <c r="B5" s="72"/>
      <c r="C5" s="66"/>
      <c r="D5" s="19"/>
      <c r="E5"/>
      <c r="F5"/>
      <c r="G5"/>
      <c r="H5" t="s">
        <v>445</v>
      </c>
      <c r="I5" s="295">
        <v>2100.45454545455</v>
      </c>
      <c r="J5" s="296">
        <v>1620.80923076923</v>
      </c>
      <c r="K5" s="269">
        <f>AVERAGE(I5:J5)*12</f>
        <v>22327.582657342682</v>
      </c>
      <c r="L5"/>
      <c r="M5"/>
      <c r="N5"/>
      <c r="O5"/>
      <c r="P5"/>
      <c r="Q5"/>
    </row>
    <row r="6" spans="1:18">
      <c r="A6" s="71" t="s">
        <v>446</v>
      </c>
      <c r="B6" s="31">
        <f>SUM(111.1)*B2</f>
        <v>6221.5999999999995</v>
      </c>
      <c r="C6" s="21" t="s">
        <v>447</v>
      </c>
      <c r="D6" s="12">
        <f>B6</f>
        <v>6221.5999999999995</v>
      </c>
      <c r="E6" s="21">
        <f>B6</f>
        <v>6221.5999999999995</v>
      </c>
      <c r="H6" t="s">
        <v>448</v>
      </c>
      <c r="I6" s="295">
        <v>3085.4666666666699</v>
      </c>
      <c r="J6" s="296">
        <v>1776.15458333333</v>
      </c>
      <c r="K6" s="269">
        <f t="shared" ref="K6:K10" si="0">AVERAGE(I6:J6)*12</f>
        <v>29169.727500000001</v>
      </c>
    </row>
    <row r="7" spans="1:18">
      <c r="A7" s="37" t="s">
        <v>449</v>
      </c>
      <c r="B7" s="31">
        <v>4874</v>
      </c>
      <c r="C7" s="21" t="s">
        <v>447</v>
      </c>
      <c r="D7" s="12">
        <f t="shared" ref="D7:D11" si="1">B7</f>
        <v>4874</v>
      </c>
      <c r="E7" s="21">
        <f t="shared" ref="E7:E11" si="2">B7</f>
        <v>4874</v>
      </c>
      <c r="H7" t="s">
        <v>450</v>
      </c>
      <c r="I7" s="295">
        <v>4999.0948571428598</v>
      </c>
      <c r="J7" s="296">
        <v>2610.1502702702701</v>
      </c>
      <c r="K7" s="269">
        <f>AVERAGE(I7:J7)*12</f>
        <v>45655.470764478778</v>
      </c>
    </row>
    <row r="8" spans="1:18">
      <c r="A8" s="37" t="s">
        <v>451</v>
      </c>
      <c r="B8" s="31">
        <f>SUM(119.1*B2)</f>
        <v>6669.5999999999995</v>
      </c>
      <c r="C8" s="21" t="s">
        <v>447</v>
      </c>
      <c r="D8" s="12">
        <f t="shared" si="1"/>
        <v>6669.5999999999995</v>
      </c>
      <c r="E8" s="21">
        <f t="shared" si="2"/>
        <v>6669.5999999999995</v>
      </c>
      <c r="H8" t="s">
        <v>452</v>
      </c>
      <c r="I8" s="295">
        <v>9252.9699999999993</v>
      </c>
      <c r="J8" s="296">
        <v>2796.2171428571401</v>
      </c>
      <c r="K8" s="269">
        <f t="shared" si="0"/>
        <v>72295.122857142836</v>
      </c>
    </row>
    <row r="9" spans="1:18">
      <c r="A9" s="37" t="s">
        <v>453</v>
      </c>
      <c r="B9" s="31">
        <v>3249.3</v>
      </c>
      <c r="C9" s="21" t="s">
        <v>447</v>
      </c>
      <c r="D9" s="12">
        <f t="shared" si="1"/>
        <v>3249.3</v>
      </c>
      <c r="E9" s="21">
        <f t="shared" si="2"/>
        <v>3249.3</v>
      </c>
      <c r="H9" t="s">
        <v>454</v>
      </c>
      <c r="I9" s="295">
        <v>1900</v>
      </c>
      <c r="J9" s="296">
        <v>1681.5668421052601</v>
      </c>
      <c r="K9" s="269">
        <f t="shared" si="0"/>
        <v>21489.401052631561</v>
      </c>
    </row>
    <row r="10" spans="1:18">
      <c r="A10" s="37" t="s">
        <v>455</v>
      </c>
      <c r="B10" s="31">
        <v>541.6</v>
      </c>
      <c r="C10" s="21" t="s">
        <v>447</v>
      </c>
      <c r="D10" s="12">
        <f t="shared" si="1"/>
        <v>541.6</v>
      </c>
      <c r="E10" s="21">
        <f t="shared" si="2"/>
        <v>541.6</v>
      </c>
      <c r="H10" t="s">
        <v>456</v>
      </c>
      <c r="I10" s="295">
        <v>4930</v>
      </c>
      <c r="J10" s="296">
        <v>2002.425</v>
      </c>
      <c r="K10" s="269">
        <f t="shared" si="0"/>
        <v>41594.550000000003</v>
      </c>
    </row>
    <row r="11" spans="1:18">
      <c r="A11" s="37" t="s">
        <v>457</v>
      </c>
      <c r="B11" s="27">
        <v>1169.9000000000001</v>
      </c>
      <c r="C11" s="21" t="s">
        <v>447</v>
      </c>
      <c r="D11" s="12">
        <f t="shared" si="1"/>
        <v>1169.9000000000001</v>
      </c>
      <c r="E11" s="21">
        <f t="shared" si="2"/>
        <v>1169.9000000000001</v>
      </c>
      <c r="H11" t="s">
        <v>458</v>
      </c>
      <c r="I11" s="269">
        <f>AVERAGE(I5:I10)</f>
        <v>4377.9976782106796</v>
      </c>
      <c r="J11" s="269">
        <f>AVERAGE(J5:J10)</f>
        <v>2081.2205115558713</v>
      </c>
      <c r="K11" s="269">
        <f>AVERAGE(I11:J11)*12</f>
        <v>38755.309138599303</v>
      </c>
    </row>
    <row r="12" spans="1:18">
      <c r="A12" s="37" t="s">
        <v>459</v>
      </c>
      <c r="B12" s="28"/>
      <c r="C12" s="21"/>
      <c r="D12" s="12"/>
      <c r="K12" s="269">
        <f>K11/6</f>
        <v>6459.2181897665505</v>
      </c>
    </row>
    <row r="13" spans="1:18">
      <c r="A13" s="39" t="s">
        <v>460</v>
      </c>
      <c r="C13" s="19"/>
      <c r="D13" s="12"/>
    </row>
    <row r="14" spans="1:18" s="29" customFormat="1">
      <c r="A14" s="36" t="s">
        <v>238</v>
      </c>
      <c r="B14" s="30"/>
      <c r="D14"/>
      <c r="E14"/>
      <c r="F14"/>
      <c r="G14"/>
      <c r="H14"/>
      <c r="J14" s="68"/>
      <c r="K14"/>
      <c r="L14"/>
      <c r="M14"/>
      <c r="N14"/>
      <c r="O14"/>
      <c r="P14"/>
      <c r="Q14"/>
    </row>
    <row r="15" spans="1:18" ht="14.1">
      <c r="A15" s="38" t="s">
        <v>461</v>
      </c>
      <c r="B15" s="31">
        <f>SUM(35*B2*12.6)</f>
        <v>24696</v>
      </c>
      <c r="C15" s="21"/>
      <c r="D15" s="6">
        <f>B15*$D$4</f>
        <v>25683.84</v>
      </c>
      <c r="E15" s="4">
        <f>B15*$E$4</f>
        <v>23955.119999999999</v>
      </c>
      <c r="H15" t="s">
        <v>445</v>
      </c>
      <c r="I15" t="s">
        <v>448</v>
      </c>
      <c r="J15" s="19" t="s">
        <v>462</v>
      </c>
      <c r="K15" t="s">
        <v>452</v>
      </c>
      <c r="L15" t="s">
        <v>454</v>
      </c>
      <c r="M15" t="s">
        <v>456</v>
      </c>
      <c r="N15" s="4" t="s">
        <v>367</v>
      </c>
      <c r="O15" s="4"/>
      <c r="P15" s="4"/>
      <c r="Q15" s="4"/>
      <c r="R15" s="4"/>
    </row>
    <row r="16" spans="1:18">
      <c r="A16" s="5" t="s">
        <v>463</v>
      </c>
      <c r="B16" s="31">
        <f>SUM(3.8,1.9)*(35*B2)</f>
        <v>11171.999999999998</v>
      </c>
      <c r="C16" s="21"/>
      <c r="D16" s="6">
        <f>B16*$D$4</f>
        <v>11618.88</v>
      </c>
      <c r="E16" s="4">
        <f>B16*$E$4</f>
        <v>10836.839999999998</v>
      </c>
      <c r="F16" s="297"/>
      <c r="H16" s="269">
        <f>K5/6</f>
        <v>3721.2637762237805</v>
      </c>
      <c r="I16" s="269">
        <f>K6/6</f>
        <v>4861.6212500000001</v>
      </c>
      <c r="J16" s="23">
        <f>K7/6</f>
        <v>7609.2451274131299</v>
      </c>
      <c r="K16" s="23">
        <f>K8/6</f>
        <v>12049.187142857139</v>
      </c>
      <c r="L16" s="23">
        <f>K9/6</f>
        <v>3581.5668421052601</v>
      </c>
      <c r="M16" s="23">
        <f>K10/6</f>
        <v>6932.4250000000002</v>
      </c>
      <c r="N16" s="223">
        <f>K12</f>
        <v>6459.2181897665505</v>
      </c>
      <c r="O16" s="23"/>
      <c r="P16" s="23"/>
      <c r="Q16" s="23"/>
      <c r="R16" s="23"/>
    </row>
    <row r="17" spans="1:18">
      <c r="A17" s="5" t="s">
        <v>464</v>
      </c>
      <c r="B17" s="31">
        <f>SUM(35*B2*4)</f>
        <v>7840</v>
      </c>
      <c r="C17" s="21"/>
      <c r="D17" s="6">
        <f>B17*$D$4</f>
        <v>8153.6</v>
      </c>
      <c r="E17" s="4">
        <f>B17*$E$4</f>
        <v>7604.8</v>
      </c>
      <c r="H17" s="269">
        <f>H16*$D$3</f>
        <v>14885.055104895122</v>
      </c>
      <c r="I17" s="269">
        <f t="shared" ref="I17:N17" si="3">I16*$D$3</f>
        <v>19446.485000000001</v>
      </c>
      <c r="J17" s="269">
        <f>J16*$D$3</f>
        <v>30436.98050965252</v>
      </c>
      <c r="K17" s="269">
        <f t="shared" si="3"/>
        <v>48196.748571428558</v>
      </c>
      <c r="L17" s="269">
        <f t="shared" si="3"/>
        <v>14326.26736842104</v>
      </c>
      <c r="M17" s="269">
        <f t="shared" si="3"/>
        <v>27729.7</v>
      </c>
      <c r="N17" s="269">
        <f t="shared" si="3"/>
        <v>25836.872759066202</v>
      </c>
    </row>
    <row r="18" spans="1:18">
      <c r="A18" s="5"/>
      <c r="B18" s="31"/>
      <c r="C18" s="21"/>
      <c r="D18" s="21"/>
      <c r="E18" s="21"/>
      <c r="H18" s="269">
        <f>H17/35</f>
        <v>425.28728871128919</v>
      </c>
      <c r="I18" s="19"/>
    </row>
    <row r="19" spans="1:18" s="29" customFormat="1">
      <c r="A19" s="36" t="s">
        <v>465</v>
      </c>
      <c r="B19" s="69"/>
      <c r="C19" s="70"/>
      <c r="D19" s="21"/>
      <c r="E19"/>
      <c r="F19"/>
      <c r="G19"/>
      <c r="H19" s="19"/>
      <c r="I19" s="4"/>
      <c r="J19" s="4"/>
      <c r="K19" s="4"/>
      <c r="L19" s="4"/>
      <c r="M19" s="4"/>
      <c r="N19" s="4"/>
      <c r="O19" s="4"/>
      <c r="P19" s="4"/>
      <c r="Q19" s="4"/>
      <c r="R19" s="78"/>
    </row>
    <row r="20" spans="1:18">
      <c r="A20" s="5" t="s">
        <v>466</v>
      </c>
      <c r="B20" s="31">
        <f>SUM(1372.1,52.8)*B2</f>
        <v>79794.399999999994</v>
      </c>
      <c r="C20" s="195"/>
      <c r="D20" s="6">
        <f>B20*$D$4</f>
        <v>82986.175999999992</v>
      </c>
      <c r="E20" s="6">
        <f>B20*$E$4</f>
        <v>77400.567999999999</v>
      </c>
      <c r="H20" s="19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>
      <c r="A21" s="5" t="s">
        <v>467</v>
      </c>
      <c r="B21" s="31">
        <f>SUM(138.9)*B2</f>
        <v>7778.4000000000005</v>
      </c>
      <c r="C21" s="4"/>
      <c r="D21" s="6">
        <f>B21*$D$4</f>
        <v>8089.536000000001</v>
      </c>
      <c r="E21" s="6">
        <f>B21*$E$4</f>
        <v>7545.0480000000007</v>
      </c>
      <c r="J21" s="68"/>
    </row>
    <row r="22" spans="1:18">
      <c r="A22" s="5" t="s">
        <v>468</v>
      </c>
      <c r="B22" s="31">
        <f>55.6*B2</f>
        <v>3113.6</v>
      </c>
      <c r="C22" s="21" t="s">
        <v>447</v>
      </c>
      <c r="D22" s="4">
        <f>B22</f>
        <v>3113.6</v>
      </c>
      <c r="E22" s="6">
        <f>B22</f>
        <v>3113.6</v>
      </c>
      <c r="J22" s="68"/>
    </row>
    <row r="23" spans="1:18">
      <c r="A23" s="5" t="s">
        <v>469</v>
      </c>
      <c r="B23" s="31">
        <f>111.1*B2</f>
        <v>6221.5999999999995</v>
      </c>
      <c r="C23" s="21"/>
      <c r="D23" s="6">
        <f>B23*$D$4</f>
        <v>6470.4639999999999</v>
      </c>
      <c r="E23" s="6">
        <f>B23*$E$4</f>
        <v>6034.9519999999993</v>
      </c>
      <c r="H23" s="16"/>
    </row>
    <row r="24" spans="1:18">
      <c r="A24" s="5" t="s">
        <v>470</v>
      </c>
      <c r="B24" s="31">
        <f>24*B2</f>
        <v>1344</v>
      </c>
      <c r="C24" s="21" t="s">
        <v>447</v>
      </c>
      <c r="D24" s="4">
        <f>B24</f>
        <v>1344</v>
      </c>
      <c r="E24" s="6">
        <f>B24</f>
        <v>1344</v>
      </c>
      <c r="H24" s="16"/>
    </row>
    <row r="25" spans="1:18">
      <c r="A25" s="5" t="s">
        <v>471</v>
      </c>
      <c r="B25" s="75">
        <f>21.6*B2</f>
        <v>1209.6000000000001</v>
      </c>
      <c r="C25" s="21" t="s">
        <v>447</v>
      </c>
      <c r="D25" s="4">
        <f>B25</f>
        <v>1209.6000000000001</v>
      </c>
      <c r="E25" s="6">
        <f>B25</f>
        <v>1209.6000000000001</v>
      </c>
      <c r="H25" s="16"/>
    </row>
    <row r="26" spans="1:18">
      <c r="A26" s="5" t="s">
        <v>460</v>
      </c>
      <c r="B26" s="31"/>
      <c r="C26" s="4"/>
      <c r="D26" s="4"/>
    </row>
    <row r="27" spans="1:18">
      <c r="A27" s="5"/>
      <c r="B27" s="31"/>
      <c r="C27" s="4"/>
      <c r="D27" s="4"/>
    </row>
    <row r="28" spans="1:18">
      <c r="A28" s="5"/>
      <c r="B28" s="31"/>
      <c r="C28" s="21"/>
      <c r="D28" s="83"/>
      <c r="E28" s="21"/>
    </row>
    <row r="29" spans="1:18" s="29" customFormat="1">
      <c r="A29" s="36" t="s">
        <v>472</v>
      </c>
      <c r="B29" s="30"/>
      <c r="C29" s="70"/>
      <c r="D29" s="21"/>
      <c r="E29"/>
      <c r="F29"/>
      <c r="G29"/>
      <c r="H29"/>
      <c r="I29"/>
      <c r="J29"/>
      <c r="K29"/>
      <c r="L29"/>
      <c r="M29"/>
      <c r="N29"/>
      <c r="O29"/>
    </row>
    <row r="30" spans="1:18" ht="14.1">
      <c r="A30" s="5" t="s">
        <v>473</v>
      </c>
      <c r="C30" s="21"/>
      <c r="E30" s="84"/>
    </row>
    <row r="31" spans="1:18">
      <c r="A31" s="5" t="s">
        <v>474</v>
      </c>
      <c r="B31" s="31">
        <f>200*'Quality Center Profile'!E13</f>
        <v>1800</v>
      </c>
      <c r="C31" s="21"/>
      <c r="D31" s="21">
        <f>B31*D4</f>
        <v>1872</v>
      </c>
      <c r="E31" s="21">
        <f>B31*E4</f>
        <v>1746</v>
      </c>
    </row>
    <row r="32" spans="1:18" ht="14.1">
      <c r="A32" s="5"/>
      <c r="B32" s="28"/>
      <c r="C32" s="21"/>
      <c r="D32" s="21"/>
      <c r="E32" s="82"/>
    </row>
    <row r="33" spans="1:8" ht="14.1">
      <c r="A33" s="2"/>
      <c r="B33" s="28"/>
      <c r="C33" s="21"/>
      <c r="D33" s="21"/>
      <c r="E33" s="24"/>
    </row>
    <row r="34" spans="1:8">
      <c r="A34" s="3" t="s">
        <v>475</v>
      </c>
      <c r="B34" s="32">
        <f>SUM(B6:B32)</f>
        <v>167695.6</v>
      </c>
      <c r="C34" s="32"/>
      <c r="D34" s="32">
        <f>SUM(D6:D32)</f>
        <v>173267.696</v>
      </c>
      <c r="E34" s="32">
        <f>SUM(E6:E32)</f>
        <v>163516.52799999999</v>
      </c>
    </row>
    <row r="35" spans="1:8">
      <c r="A35" s="19" t="s">
        <v>476</v>
      </c>
      <c r="B35" s="33">
        <f>B34/B3</f>
        <v>41923.9</v>
      </c>
      <c r="C35" s="79"/>
      <c r="D35" s="33">
        <f>D34/D3</f>
        <v>43316.923999999999</v>
      </c>
      <c r="E35" s="33">
        <f>E34/E3</f>
        <v>40879.131999999998</v>
      </c>
    </row>
    <row r="36" spans="1:8">
      <c r="A36" s="19" t="s">
        <v>477</v>
      </c>
      <c r="B36" s="33">
        <f>B34/B2</f>
        <v>2994.5642857142857</v>
      </c>
      <c r="C36" s="6"/>
      <c r="D36" s="33">
        <f>D34/D4</f>
        <v>166603.55384615384</v>
      </c>
      <c r="E36" s="33">
        <f>E34/E4</f>
        <v>168573.74020618555</v>
      </c>
    </row>
    <row r="37" spans="1:8" ht="14.1" thickBot="1">
      <c r="C37" s="19"/>
      <c r="D37" s="27"/>
      <c r="E37" s="27"/>
    </row>
    <row r="38" spans="1:8" ht="14.1" thickTop="1">
      <c r="A38" s="42" t="s">
        <v>478</v>
      </c>
      <c r="B38" s="43">
        <f>SUM(B6:B10)/B2</f>
        <v>384.93035714285708</v>
      </c>
      <c r="C38" s="19"/>
      <c r="D38" s="43">
        <f>SUM(D6:D10)/D2</f>
        <v>384.93035714285708</v>
      </c>
      <c r="E38" s="43">
        <f>SUM(E6:E10)/E2</f>
        <v>384.93035714285708</v>
      </c>
      <c r="H38" s="17"/>
    </row>
    <row r="39" spans="1:8">
      <c r="A39" s="44" t="s">
        <v>479</v>
      </c>
      <c r="B39" s="45">
        <f>SUM(B15:B17)/B3</f>
        <v>10927</v>
      </c>
      <c r="C39" s="19"/>
      <c r="D39" s="45">
        <f>SUM(D15:D17)/D3</f>
        <v>11364.08</v>
      </c>
      <c r="E39" s="45">
        <f>SUM(E15:E17)/E3</f>
        <v>10599.19</v>
      </c>
      <c r="H39" s="17"/>
    </row>
    <row r="40" spans="1:8">
      <c r="A40" s="44" t="s">
        <v>480</v>
      </c>
      <c r="B40" s="46">
        <f>SUM(B20:B25,B31)/B2</f>
        <v>1808.2428571428572</v>
      </c>
      <c r="C40" s="19"/>
      <c r="D40" s="46">
        <f>SUM(D20:D25,D31)/D2</f>
        <v>1876.5245714285718</v>
      </c>
      <c r="E40" s="46">
        <f>SUM(E20:E25,E31)/E2</f>
        <v>1757.0315714285716</v>
      </c>
      <c r="H40" s="17"/>
    </row>
    <row r="41" spans="1:8" ht="14.1" thickBot="1">
      <c r="A41" s="47"/>
      <c r="B41" s="48" t="s">
        <v>481</v>
      </c>
      <c r="D41" s="48"/>
      <c r="E41" s="48"/>
    </row>
    <row r="42" spans="1:8" ht="14.1" thickTop="1">
      <c r="A42" s="19"/>
    </row>
    <row r="43" spans="1:8">
      <c r="A43" s="19"/>
      <c r="B43" s="12"/>
    </row>
    <row r="45" spans="1:8" ht="14.1">
      <c r="D45" s="35" t="s">
        <v>364</v>
      </c>
      <c r="E45" s="35" t="s">
        <v>16</v>
      </c>
    </row>
    <row r="46" spans="1:8">
      <c r="D46">
        <f>B46</f>
        <v>0</v>
      </c>
      <c r="E46">
        <f>B46</f>
        <v>0</v>
      </c>
    </row>
    <row r="47" spans="1:8" ht="14.1">
      <c r="A47" s="1" t="s">
        <v>482</v>
      </c>
      <c r="B47" s="35" t="s">
        <v>483</v>
      </c>
      <c r="D47" t="str">
        <f>B47</f>
        <v>PCQC - FCC</v>
      </c>
      <c r="E47" t="str">
        <f>B47</f>
        <v>PCQC - FCC</v>
      </c>
    </row>
    <row r="48" spans="1:8">
      <c r="B48" t="str">
        <f>'[4]VariablesINPUT-FCC'!B67</f>
        <v>Benefits</v>
      </c>
      <c r="D48" s="61">
        <v>1.04</v>
      </c>
      <c r="E48" s="61">
        <v>0.97</v>
      </c>
    </row>
    <row r="49" spans="1:5">
      <c r="B49" s="19" t="s">
        <v>484</v>
      </c>
      <c r="D49" s="19"/>
    </row>
    <row r="50" spans="1:5" ht="15">
      <c r="A50" s="647" t="s">
        <v>485</v>
      </c>
      <c r="B50" s="697">
        <v>162.5</v>
      </c>
      <c r="C50" s="19"/>
      <c r="D50" s="12">
        <f>$B50*D$48</f>
        <v>169</v>
      </c>
      <c r="E50" s="12">
        <f>$B50*E$48</f>
        <v>157.625</v>
      </c>
    </row>
    <row r="51" spans="1:5">
      <c r="A51" s="19" t="s">
        <v>486</v>
      </c>
      <c r="B51" s="697">
        <v>305.5</v>
      </c>
      <c r="C51" s="19" t="s">
        <v>487</v>
      </c>
      <c r="D51" s="12">
        <f t="shared" ref="D51:D55" si="4">B51</f>
        <v>305.5</v>
      </c>
      <c r="E51" s="21">
        <f t="shared" ref="E51:E55" si="5">B51</f>
        <v>305.5</v>
      </c>
    </row>
    <row r="52" spans="1:5">
      <c r="A52" s="19" t="s">
        <v>488</v>
      </c>
      <c r="B52" s="697">
        <v>366.6</v>
      </c>
      <c r="C52" s="19" t="s">
        <v>487</v>
      </c>
      <c r="D52" s="12">
        <f t="shared" si="4"/>
        <v>366.6</v>
      </c>
      <c r="E52" s="21">
        <f t="shared" si="5"/>
        <v>366.6</v>
      </c>
    </row>
    <row r="53" spans="1:5">
      <c r="A53" s="19" t="s">
        <v>489</v>
      </c>
      <c r="B53" s="697">
        <v>536.1</v>
      </c>
      <c r="C53" s="19" t="s">
        <v>487</v>
      </c>
      <c r="D53" s="12">
        <f t="shared" si="4"/>
        <v>536.1</v>
      </c>
      <c r="E53" s="21">
        <f t="shared" si="5"/>
        <v>536.1</v>
      </c>
    </row>
    <row r="54" spans="1:5">
      <c r="A54" s="21" t="s">
        <v>490</v>
      </c>
      <c r="B54" s="697">
        <v>144.4</v>
      </c>
      <c r="C54" s="19" t="s">
        <v>487</v>
      </c>
      <c r="D54" s="12">
        <f>$B54*D$48</f>
        <v>150.17600000000002</v>
      </c>
      <c r="E54" s="12">
        <f>$B54*E$48</f>
        <v>140.06800000000001</v>
      </c>
    </row>
    <row r="55" spans="1:5">
      <c r="A55" s="21" t="s">
        <v>491</v>
      </c>
      <c r="B55" s="697">
        <v>733.3</v>
      </c>
      <c r="D55" s="12">
        <f t="shared" si="4"/>
        <v>733.3</v>
      </c>
      <c r="E55" s="21">
        <f t="shared" si="5"/>
        <v>733.3</v>
      </c>
    </row>
    <row r="56" spans="1:5">
      <c r="A56" s="21" t="s">
        <v>492</v>
      </c>
      <c r="B56" s="697">
        <v>222.2</v>
      </c>
      <c r="C56" s="19" t="s">
        <v>487</v>
      </c>
      <c r="D56" s="12">
        <f>B56</f>
        <v>222.2</v>
      </c>
      <c r="E56" s="648">
        <f>B56</f>
        <v>222.2</v>
      </c>
    </row>
    <row r="57" spans="1:5">
      <c r="A57" s="21" t="s">
        <v>493</v>
      </c>
      <c r="B57" s="697">
        <v>294.39999999999998</v>
      </c>
      <c r="D57" s="12">
        <f>$B57*D$48</f>
        <v>306.17599999999999</v>
      </c>
      <c r="E57" s="12">
        <f>$B57*E$48</f>
        <v>285.56799999999998</v>
      </c>
    </row>
    <row r="58" spans="1:5">
      <c r="A58" s="21" t="s">
        <v>494</v>
      </c>
      <c r="B58" s="697">
        <v>555.5</v>
      </c>
      <c r="D58" s="12">
        <f>$B58*D$48</f>
        <v>577.72</v>
      </c>
      <c r="E58" s="12">
        <f>$B58*E$48</f>
        <v>538.83500000000004</v>
      </c>
    </row>
    <row r="59" spans="1:5">
      <c r="A59" s="21" t="s">
        <v>495</v>
      </c>
      <c r="B59" s="697">
        <v>6860.4</v>
      </c>
      <c r="D59" s="6">
        <f>B59*$D48</f>
        <v>7134.8159999999998</v>
      </c>
      <c r="E59" s="4">
        <f>B59*$E48</f>
        <v>6654.5879999999997</v>
      </c>
    </row>
    <row r="60" spans="1:5">
      <c r="A60" s="21" t="s">
        <v>496</v>
      </c>
      <c r="B60" s="697">
        <v>1083.0999999999999</v>
      </c>
      <c r="D60" s="6">
        <f t="shared" ref="D60:D65" si="6">B60*$D$48</f>
        <v>1126.424</v>
      </c>
      <c r="E60" s="4">
        <f t="shared" ref="E60:E65" si="7">B60*$E$48</f>
        <v>1050.607</v>
      </c>
    </row>
    <row r="61" spans="1:5">
      <c r="A61" s="21" t="s">
        <v>474</v>
      </c>
      <c r="B61" s="697">
        <v>277.8</v>
      </c>
      <c r="C61" s="19"/>
      <c r="D61" s="6">
        <f t="shared" si="6"/>
        <v>288.91200000000003</v>
      </c>
      <c r="E61" s="4">
        <f t="shared" si="7"/>
        <v>269.46600000000001</v>
      </c>
    </row>
    <row r="62" spans="1:5">
      <c r="A62" s="19" t="s">
        <v>497</v>
      </c>
      <c r="B62" s="697">
        <v>122.2</v>
      </c>
      <c r="C62" s="19" t="s">
        <v>487</v>
      </c>
      <c r="D62" s="6">
        <f t="shared" si="6"/>
        <v>127.08800000000001</v>
      </c>
      <c r="E62" s="6">
        <f t="shared" si="7"/>
        <v>118.53400000000001</v>
      </c>
    </row>
    <row r="63" spans="1:5">
      <c r="A63" s="21" t="s">
        <v>498</v>
      </c>
      <c r="B63" s="697">
        <v>119.1</v>
      </c>
      <c r="C63" s="19" t="s">
        <v>487</v>
      </c>
      <c r="D63" s="6">
        <f t="shared" si="6"/>
        <v>123.864</v>
      </c>
      <c r="E63" s="6">
        <f t="shared" si="7"/>
        <v>115.52699999999999</v>
      </c>
    </row>
    <row r="64" spans="1:5">
      <c r="A64" s="21" t="s">
        <v>499</v>
      </c>
      <c r="B64" s="698"/>
      <c r="D64" s="6">
        <f t="shared" si="6"/>
        <v>0</v>
      </c>
      <c r="E64" s="6">
        <f t="shared" si="7"/>
        <v>0</v>
      </c>
    </row>
    <row r="65" spans="1:5">
      <c r="A65" s="21" t="s">
        <v>500</v>
      </c>
      <c r="B65" s="698"/>
      <c r="D65" s="6">
        <f t="shared" si="6"/>
        <v>0</v>
      </c>
      <c r="E65" s="6">
        <f t="shared" si="7"/>
        <v>0</v>
      </c>
    </row>
    <row r="66" spans="1:5">
      <c r="A66" s="21" t="s">
        <v>501</v>
      </c>
      <c r="B66" s="698">
        <v>1169.9000000000001</v>
      </c>
      <c r="C66" s="19" t="s">
        <v>487</v>
      </c>
      <c r="D66" s="4">
        <f>B66</f>
        <v>1169.9000000000001</v>
      </c>
      <c r="E66" s="6">
        <f>B66</f>
        <v>1169.9000000000001</v>
      </c>
    </row>
    <row r="67" spans="1:5">
      <c r="A67" s="649" t="s">
        <v>97</v>
      </c>
      <c r="B67" s="699">
        <f>SUM(B50:B66)</f>
        <v>12953</v>
      </c>
      <c r="D67" s="6">
        <f>SUM(D50:D66)</f>
        <v>13337.775999999998</v>
      </c>
      <c r="E67" s="6">
        <f>SUM(E50:E66)</f>
        <v>12664.418</v>
      </c>
    </row>
    <row r="68" spans="1:5">
      <c r="A68" s="21"/>
      <c r="B68" s="698"/>
      <c r="D68" s="4"/>
      <c r="E68" s="6"/>
    </row>
    <row r="69" spans="1:5">
      <c r="A69" s="21" t="s">
        <v>502</v>
      </c>
      <c r="B69" s="700">
        <v>11073.2</v>
      </c>
      <c r="D69" s="4">
        <f>B69*D$48</f>
        <v>11516.128000000001</v>
      </c>
      <c r="E69" s="6">
        <f>B69*E$48</f>
        <v>10741.004000000001</v>
      </c>
    </row>
    <row r="70" spans="1:5">
      <c r="A70" s="21" t="s">
        <v>451</v>
      </c>
      <c r="B70" s="700">
        <v>801.5</v>
      </c>
      <c r="D70" s="4">
        <f t="shared" ref="D70:D73" si="8">B70*D$48</f>
        <v>833.56000000000006</v>
      </c>
      <c r="E70" s="6">
        <f t="shared" ref="E70:E73" si="9">B70*E$48</f>
        <v>777.45499999999993</v>
      </c>
    </row>
    <row r="71" spans="1:5">
      <c r="A71" s="21" t="s">
        <v>503</v>
      </c>
      <c r="B71" s="700">
        <v>595.79999999999995</v>
      </c>
      <c r="D71" s="4">
        <f t="shared" si="8"/>
        <v>619.63199999999995</v>
      </c>
      <c r="E71" s="6">
        <f t="shared" si="9"/>
        <v>577.92599999999993</v>
      </c>
    </row>
    <row r="72" spans="1:5">
      <c r="A72" s="4" t="s">
        <v>504</v>
      </c>
      <c r="B72" s="698">
        <v>2271.9</v>
      </c>
      <c r="D72" s="4">
        <f t="shared" si="8"/>
        <v>2362.7760000000003</v>
      </c>
      <c r="E72" s="6">
        <f t="shared" si="9"/>
        <v>2203.7429999999999</v>
      </c>
    </row>
    <row r="73" spans="1:5">
      <c r="A73" s="4" t="s">
        <v>505</v>
      </c>
      <c r="B73" s="698">
        <v>294.39999999999998</v>
      </c>
      <c r="D73" s="4">
        <f t="shared" si="8"/>
        <v>306.17599999999999</v>
      </c>
      <c r="E73" s="6">
        <f t="shared" si="9"/>
        <v>285.56799999999998</v>
      </c>
    </row>
    <row r="74" spans="1:5">
      <c r="A74" s="649" t="s">
        <v>97</v>
      </c>
      <c r="B74" s="699">
        <f>SUM(B69:B73)</f>
        <v>15036.8</v>
      </c>
      <c r="D74" s="699">
        <f>SUM(D69:D73)</f>
        <v>15638.271999999999</v>
      </c>
      <c r="E74" s="699">
        <f>SUM(E69:E73)</f>
        <v>14585.696</v>
      </c>
    </row>
    <row r="75" spans="1:5">
      <c r="B75" s="701"/>
      <c r="D75" s="21"/>
      <c r="E75" s="21"/>
    </row>
    <row r="76" spans="1:5" ht="14.1">
      <c r="A76" s="650" t="s">
        <v>506</v>
      </c>
      <c r="B76" s="702">
        <v>60</v>
      </c>
      <c r="D76" s="21">
        <f>B76</f>
        <v>60</v>
      </c>
      <c r="E76" s="82">
        <f>B76</f>
        <v>60</v>
      </c>
    </row>
    <row r="77" spans="1:5" ht="14.1">
      <c r="A77" s="651" t="s">
        <v>507</v>
      </c>
      <c r="B77" s="703">
        <v>1200</v>
      </c>
      <c r="D77" s="21">
        <f>B77</f>
        <v>1200</v>
      </c>
      <c r="E77" s="24">
        <f>B77</f>
        <v>1200</v>
      </c>
    </row>
    <row r="78" spans="1:5">
      <c r="A78" s="651" t="s">
        <v>508</v>
      </c>
      <c r="B78" s="704">
        <v>2000</v>
      </c>
      <c r="D78" s="32">
        <f>B78</f>
        <v>2000</v>
      </c>
      <c r="E78" s="32">
        <f>B78</f>
        <v>2000</v>
      </c>
    </row>
    <row r="79" spans="1:5">
      <c r="A79" s="652" t="s">
        <v>509</v>
      </c>
      <c r="B79" s="705">
        <f>SUM(B76/(24*7)*(B77/B78))</f>
        <v>0.21428571428571427</v>
      </c>
      <c r="D79" s="705">
        <f>SUM(D76/(24*7)*(D77/D78))</f>
        <v>0.21428571428571427</v>
      </c>
      <c r="E79" s="705">
        <f>SUM(E76/(24*7)*(E77/E78))</f>
        <v>0.21428571428571427</v>
      </c>
    </row>
    <row r="80" spans="1:5">
      <c r="A80" s="653"/>
      <c r="B80" s="653"/>
      <c r="D80" s="33"/>
      <c r="E80" s="33"/>
    </row>
    <row r="81" spans="1:5">
      <c r="A81" s="21"/>
      <c r="B81" s="21"/>
      <c r="D81" s="21"/>
      <c r="E81" s="21"/>
    </row>
    <row r="82" spans="1:5">
      <c r="A82" s="21" t="s">
        <v>510</v>
      </c>
      <c r="B82" s="21">
        <f>SUM(B50:B66)</f>
        <v>12953</v>
      </c>
      <c r="D82" s="21">
        <f>SUM(D50:D66)</f>
        <v>13337.775999999998</v>
      </c>
      <c r="E82" s="21">
        <f>SUM(E50:E66)</f>
        <v>12664.418</v>
      </c>
    </row>
    <row r="83" spans="1:5">
      <c r="A83" s="21" t="s">
        <v>511</v>
      </c>
      <c r="B83" s="21">
        <f>B74*B79</f>
        <v>3222.1714285714284</v>
      </c>
      <c r="D83" s="21">
        <f>D74*D79</f>
        <v>3351.0582857142854</v>
      </c>
      <c r="E83" s="21">
        <f>E74*E79</f>
        <v>3125.5062857142857</v>
      </c>
    </row>
    <row r="84" spans="1:5">
      <c r="A84" s="9"/>
      <c r="B84" s="9"/>
      <c r="D84" s="9"/>
      <c r="E84" s="9"/>
    </row>
    <row r="85" spans="1:5">
      <c r="A85" s="8" t="s">
        <v>512</v>
      </c>
      <c r="B85" s="6">
        <f>SUM(B82:B83)</f>
        <v>16175.171428571428</v>
      </c>
      <c r="D85" s="6">
        <f>SUM(D82:D83)</f>
        <v>16688.834285714285</v>
      </c>
      <c r="E85" s="6">
        <f>SUM(E82:E83)</f>
        <v>15789.924285714285</v>
      </c>
    </row>
    <row r="86" spans="1:5">
      <c r="A86" s="6"/>
      <c r="B86" s="6"/>
      <c r="D86" s="6"/>
      <c r="E86" s="6"/>
    </row>
    <row r="87" spans="1:5" ht="14.1" thickBot="1">
      <c r="A87" s="19"/>
      <c r="B87" s="19" t="s">
        <v>203</v>
      </c>
      <c r="D87" s="19"/>
      <c r="E87" s="19" t="s">
        <v>203</v>
      </c>
    </row>
    <row r="88" spans="1:5" ht="14.1" thickTop="1">
      <c r="A88" s="42" t="s">
        <v>513</v>
      </c>
      <c r="B88" s="654">
        <f>SUM(B50,B51,B52,B53,B54,B55,B56,B57,B60,B62,B63,B66)</f>
        <v>5259.2999999999993</v>
      </c>
      <c r="D88" s="654">
        <f>SUM(D50,D51,D52,D53,D54,D55,D56,D57,D60,D62,D63,D66)</f>
        <v>5336.3279999999995</v>
      </c>
      <c r="E88" s="654">
        <f>SUM(E50,E51,E52,E53,E54,E55,E56,E57,E60,E62,E63,E66)</f>
        <v>5201.5290000000005</v>
      </c>
    </row>
    <row r="89" spans="1:5">
      <c r="A89" s="44" t="s">
        <v>238</v>
      </c>
      <c r="B89" s="655">
        <f>B83</f>
        <v>3222.1714285714284</v>
      </c>
      <c r="D89" s="655">
        <f>D83</f>
        <v>3351.0582857142854</v>
      </c>
      <c r="E89" s="655">
        <f>E83</f>
        <v>3125.5062857142857</v>
      </c>
    </row>
    <row r="90" spans="1:5">
      <c r="A90" s="44" t="s">
        <v>514</v>
      </c>
      <c r="B90" s="656">
        <f>SUM(B59,B58,B61)</f>
        <v>7693.7</v>
      </c>
      <c r="D90" s="656">
        <f>SUM(D59,D58,D61)</f>
        <v>8001.4480000000003</v>
      </c>
      <c r="E90" s="656">
        <f>SUM(E59,E58,E61)</f>
        <v>7462.8890000000001</v>
      </c>
    </row>
    <row r="91" spans="1:5" ht="14.1" thickBot="1">
      <c r="A91" s="47"/>
      <c r="B91" s="657" t="s">
        <v>515</v>
      </c>
      <c r="D91" s="47"/>
      <c r="E91" s="657" t="s">
        <v>515</v>
      </c>
    </row>
    <row r="92" spans="1:5" ht="14.1" thickTop="1">
      <c r="B92" s="714">
        <f>B88/6</f>
        <v>876.54999999999984</v>
      </c>
      <c r="D92" s="714">
        <f t="shared" ref="D92:E94" si="10">D88/6</f>
        <v>889.38799999999992</v>
      </c>
      <c r="E92" s="714">
        <f t="shared" si="10"/>
        <v>866.92150000000004</v>
      </c>
    </row>
    <row r="93" spans="1:5">
      <c r="B93" s="714">
        <f>B89/6</f>
        <v>537.02857142857135</v>
      </c>
      <c r="D93" s="714">
        <f t="shared" si="10"/>
        <v>558.50971428571427</v>
      </c>
      <c r="E93" s="714">
        <f t="shared" si="10"/>
        <v>520.91771428571428</v>
      </c>
    </row>
    <row r="94" spans="1:5">
      <c r="B94" s="714">
        <f>B90/6</f>
        <v>1282.2833333333333</v>
      </c>
      <c r="D94" s="714">
        <f t="shared" si="10"/>
        <v>1333.5746666666666</v>
      </c>
      <c r="E94" s="714">
        <f t="shared" si="10"/>
        <v>1243.8148333333334</v>
      </c>
    </row>
  </sheetData>
  <pageMargins left="0.75" right="0.75" top="1" bottom="1" header="0.5" footer="0.5"/>
  <pageSetup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37F8-68EC-DC42-9EDF-474A15955E4D}">
  <sheetPr codeName="Sheet31">
    <tabColor theme="5" tint="0.39997558519241921"/>
  </sheetPr>
  <dimension ref="A1:Q73"/>
  <sheetViews>
    <sheetView workbookViewId="0"/>
  </sheetViews>
  <sheetFormatPr defaultColWidth="8.7109375" defaultRowHeight="12.95"/>
  <cols>
    <col min="1" max="1" width="17.42578125" style="255" customWidth="1"/>
    <col min="2" max="2" width="11.85546875" style="255" customWidth="1"/>
    <col min="3" max="3" width="12" style="255" customWidth="1"/>
    <col min="4" max="4" width="11.85546875" style="255" customWidth="1"/>
    <col min="5" max="5" width="13" style="255" customWidth="1"/>
    <col min="6" max="6" width="11" style="255" customWidth="1"/>
    <col min="7" max="7" width="9" style="255" bestFit="1" customWidth="1"/>
    <col min="8" max="8" width="6.42578125" style="255" customWidth="1"/>
    <col min="9" max="9" width="16.140625" style="255" customWidth="1"/>
    <col min="10" max="10" width="12.85546875" style="255" customWidth="1"/>
    <col min="11" max="16384" width="8.7109375" style="255"/>
  </cols>
  <sheetData>
    <row r="1" spans="1:17">
      <c r="B1" s="893" t="s">
        <v>434</v>
      </c>
      <c r="C1" s="893"/>
      <c r="D1" s="893"/>
      <c r="E1" s="893"/>
      <c r="F1" s="893"/>
      <c r="G1" s="893"/>
      <c r="H1" s="659"/>
      <c r="J1" s="892" t="s">
        <v>516</v>
      </c>
      <c r="K1" s="892"/>
      <c r="L1" s="892"/>
      <c r="M1" s="892"/>
      <c r="N1" s="892"/>
      <c r="O1" s="892"/>
      <c r="Q1" s="14" t="s">
        <v>517</v>
      </c>
    </row>
    <row r="2" spans="1:17" ht="15.95" customHeight="1" thickBot="1">
      <c r="B2" s="891" t="s">
        <v>364</v>
      </c>
      <c r="C2" s="891"/>
      <c r="D2" s="891" t="s">
        <v>16</v>
      </c>
      <c r="E2" s="891"/>
      <c r="F2" s="255" t="s">
        <v>367</v>
      </c>
      <c r="H2" s="659"/>
      <c r="J2" s="891" t="s">
        <v>364</v>
      </c>
      <c r="K2" s="891"/>
      <c r="L2" s="891" t="s">
        <v>16</v>
      </c>
      <c r="M2" s="891"/>
      <c r="N2" s="255" t="s">
        <v>367</v>
      </c>
    </row>
    <row r="3" spans="1:17" ht="14.1">
      <c r="A3" s="277" t="s">
        <v>518</v>
      </c>
      <c r="B3" s="278" t="s">
        <v>519</v>
      </c>
      <c r="C3" s="261" t="s">
        <v>520</v>
      </c>
      <c r="D3" s="278" t="s">
        <v>519</v>
      </c>
      <c r="E3" s="261" t="s">
        <v>520</v>
      </c>
      <c r="F3" s="278" t="s">
        <v>519</v>
      </c>
      <c r="G3" s="261" t="s">
        <v>520</v>
      </c>
      <c r="H3" s="659"/>
      <c r="I3" s="277" t="s">
        <v>518</v>
      </c>
      <c r="J3" s="278" t="s">
        <v>519</v>
      </c>
      <c r="K3" s="261" t="s">
        <v>520</v>
      </c>
      <c r="L3" s="278" t="s">
        <v>519</v>
      </c>
      <c r="M3" s="261" t="s">
        <v>520</v>
      </c>
      <c r="N3" s="278" t="s">
        <v>519</v>
      </c>
      <c r="O3" s="261" t="s">
        <v>520</v>
      </c>
    </row>
    <row r="4" spans="1:17">
      <c r="A4" s="255" t="s">
        <v>521</v>
      </c>
      <c r="B4" s="406">
        <v>58.25</v>
      </c>
      <c r="C4" s="407">
        <v>46.75</v>
      </c>
      <c r="D4" s="406">
        <v>36.799999999999997</v>
      </c>
      <c r="E4" s="406">
        <v>28.95</v>
      </c>
      <c r="F4" s="280">
        <f>AVERAGE(C4,D4)</f>
        <v>41.774999999999999</v>
      </c>
      <c r="G4" s="280">
        <f t="shared" ref="F4:G7" si="0">AVERAGE(C4,E4)</f>
        <v>37.85</v>
      </c>
      <c r="H4" s="659"/>
      <c r="I4" s="255" t="s">
        <v>521</v>
      </c>
      <c r="J4" s="406">
        <v>35.5</v>
      </c>
      <c r="K4" s="407">
        <v>30.5</v>
      </c>
      <c r="L4" s="406">
        <v>30.25</v>
      </c>
      <c r="M4" s="406">
        <v>25</v>
      </c>
      <c r="N4" s="280">
        <f>AVERAGE(K4,L4)</f>
        <v>30.375</v>
      </c>
      <c r="O4" s="280">
        <f t="shared" ref="O4:O7" si="1">AVERAGE(K4,M4)</f>
        <v>27.75</v>
      </c>
    </row>
    <row r="5" spans="1:17">
      <c r="A5" s="255" t="s">
        <v>522</v>
      </c>
      <c r="B5" s="406">
        <v>51.5</v>
      </c>
      <c r="C5" s="408">
        <v>41</v>
      </c>
      <c r="D5" s="406">
        <v>35</v>
      </c>
      <c r="E5" s="406">
        <v>27.9</v>
      </c>
      <c r="F5" s="280">
        <f>AVERAGE(C5,D5)</f>
        <v>38</v>
      </c>
      <c r="G5" s="280">
        <f t="shared" si="0"/>
        <v>34.450000000000003</v>
      </c>
      <c r="H5" s="659"/>
      <c r="I5" s="255" t="s">
        <v>522</v>
      </c>
      <c r="J5" s="406">
        <v>35</v>
      </c>
      <c r="K5" s="408">
        <v>30</v>
      </c>
      <c r="L5" s="406">
        <v>30</v>
      </c>
      <c r="M5" s="406">
        <v>25</v>
      </c>
      <c r="N5" s="280">
        <f>AVERAGE(K5,L5)</f>
        <v>30</v>
      </c>
      <c r="O5" s="280">
        <f t="shared" si="1"/>
        <v>27.5</v>
      </c>
    </row>
    <row r="6" spans="1:17" ht="14.1" thickBot="1">
      <c r="A6" s="255" t="s">
        <v>523</v>
      </c>
      <c r="B6" s="409">
        <v>46.51</v>
      </c>
      <c r="C6" s="406">
        <v>34.5</v>
      </c>
      <c r="D6" s="406">
        <v>34.299999999999997</v>
      </c>
      <c r="E6" s="406">
        <v>24</v>
      </c>
      <c r="F6" s="280">
        <f t="shared" si="0"/>
        <v>40.405000000000001</v>
      </c>
      <c r="G6" s="280">
        <f t="shared" si="0"/>
        <v>29.25</v>
      </c>
      <c r="H6" s="659"/>
      <c r="I6" s="255" t="s">
        <v>523</v>
      </c>
      <c r="J6" s="409">
        <v>35</v>
      </c>
      <c r="K6" s="406">
        <v>30</v>
      </c>
      <c r="L6" s="406">
        <v>30</v>
      </c>
      <c r="M6" s="406">
        <v>25</v>
      </c>
      <c r="N6" s="280">
        <f t="shared" ref="N6:N7" si="2">AVERAGE(J6,L6)</f>
        <v>32.5</v>
      </c>
      <c r="O6" s="280">
        <f t="shared" si="1"/>
        <v>27.5</v>
      </c>
    </row>
    <row r="7" spans="1:17" ht="14.1" thickBot="1">
      <c r="A7" s="255" t="s">
        <v>524</v>
      </c>
      <c r="B7" s="409">
        <v>40</v>
      </c>
      <c r="C7" s="406">
        <v>36</v>
      </c>
      <c r="D7" s="406">
        <v>35.75</v>
      </c>
      <c r="E7" s="406">
        <v>24.75</v>
      </c>
      <c r="F7" s="280">
        <f t="shared" si="0"/>
        <v>37.875</v>
      </c>
      <c r="G7" s="280">
        <f t="shared" si="0"/>
        <v>30.375</v>
      </c>
      <c r="H7" s="659"/>
      <c r="I7" s="255" t="s">
        <v>524</v>
      </c>
      <c r="J7" s="409">
        <v>33</v>
      </c>
      <c r="K7" s="406">
        <v>30</v>
      </c>
      <c r="L7" s="406">
        <v>30</v>
      </c>
      <c r="M7" s="406">
        <v>25</v>
      </c>
      <c r="N7" s="280">
        <f t="shared" si="2"/>
        <v>31.5</v>
      </c>
      <c r="O7" s="280">
        <f t="shared" si="1"/>
        <v>27.5</v>
      </c>
    </row>
    <row r="8" spans="1:17">
      <c r="H8" s="659"/>
    </row>
    <row r="9" spans="1:17">
      <c r="A9" s="282" t="s">
        <v>177</v>
      </c>
      <c r="B9" s="280"/>
      <c r="H9" s="659"/>
      <c r="I9" s="282" t="s">
        <v>177</v>
      </c>
      <c r="J9" s="280"/>
    </row>
    <row r="10" spans="1:17">
      <c r="A10" s="255" t="s">
        <v>521</v>
      </c>
      <c r="B10" s="283">
        <f>(B4/8)*2080/12</f>
        <v>1262.0833333333333</v>
      </c>
      <c r="C10" s="283">
        <f t="shared" ref="C10:E10" si="3">(C4/8)*2080/12</f>
        <v>1012.9166666666666</v>
      </c>
      <c r="D10" s="283">
        <f t="shared" si="3"/>
        <v>797.33333333333337</v>
      </c>
      <c r="E10" s="283">
        <f t="shared" si="3"/>
        <v>627.25</v>
      </c>
      <c r="F10" s="283">
        <f>(F4/8)*2080/12</f>
        <v>905.125</v>
      </c>
      <c r="G10" s="283">
        <f>(G4/8)*2080/12</f>
        <v>820.08333333333337</v>
      </c>
      <c r="H10" s="659"/>
      <c r="I10" s="255" t="s">
        <v>521</v>
      </c>
      <c r="J10" s="283">
        <f>(J4/8)*2080/12</f>
        <v>769.16666666666663</v>
      </c>
      <c r="K10" s="283">
        <f t="shared" ref="K10:M10" si="4">(K4/8)*2080/12</f>
        <v>660.83333333333337</v>
      </c>
      <c r="L10" s="283">
        <f t="shared" si="4"/>
        <v>655.41666666666663</v>
      </c>
      <c r="M10" s="283">
        <f t="shared" si="4"/>
        <v>541.66666666666663</v>
      </c>
      <c r="N10" s="283">
        <f>(N4/8)*2080/12</f>
        <v>658.125</v>
      </c>
      <c r="O10" s="283">
        <f>(O4/8)*2080/12</f>
        <v>601.25</v>
      </c>
    </row>
    <row r="11" spans="1:17">
      <c r="A11" s="255" t="s">
        <v>522</v>
      </c>
      <c r="B11" s="283">
        <f t="shared" ref="B11:G13" si="5">(B5/8)*2080/12</f>
        <v>1115.8333333333333</v>
      </c>
      <c r="C11" s="283">
        <f t="shared" si="5"/>
        <v>888.33333333333337</v>
      </c>
      <c r="D11" s="283">
        <f t="shared" si="5"/>
        <v>758.33333333333337</v>
      </c>
      <c r="E11" s="283">
        <f t="shared" si="5"/>
        <v>604.5</v>
      </c>
      <c r="F11" s="283">
        <f t="shared" si="5"/>
        <v>823.33333333333337</v>
      </c>
      <c r="G11" s="283">
        <f t="shared" si="5"/>
        <v>746.41666666666663</v>
      </c>
      <c r="H11" s="659"/>
      <c r="I11" s="255" t="s">
        <v>522</v>
      </c>
      <c r="J11" s="283">
        <f t="shared" ref="J11:O11" si="6">(J5/8)*2080/12</f>
        <v>758.33333333333337</v>
      </c>
      <c r="K11" s="283">
        <f t="shared" si="6"/>
        <v>650</v>
      </c>
      <c r="L11" s="283">
        <f t="shared" si="6"/>
        <v>650</v>
      </c>
      <c r="M11" s="283">
        <f t="shared" si="6"/>
        <v>541.66666666666663</v>
      </c>
      <c r="N11" s="283">
        <f t="shared" si="6"/>
        <v>650</v>
      </c>
      <c r="O11" s="283">
        <f t="shared" si="6"/>
        <v>595.83333333333337</v>
      </c>
    </row>
    <row r="12" spans="1:17">
      <c r="A12" s="255" t="s">
        <v>523</v>
      </c>
      <c r="B12" s="283">
        <f t="shared" si="5"/>
        <v>1007.7166666666667</v>
      </c>
      <c r="C12" s="283">
        <f t="shared" si="5"/>
        <v>747.5</v>
      </c>
      <c r="D12" s="283">
        <f t="shared" si="5"/>
        <v>743.16666666666663</v>
      </c>
      <c r="E12" s="283">
        <f t="shared" si="5"/>
        <v>520</v>
      </c>
      <c r="F12" s="283">
        <f t="shared" si="5"/>
        <v>875.44166666666672</v>
      </c>
      <c r="G12" s="283">
        <f t="shared" si="5"/>
        <v>633.75</v>
      </c>
      <c r="H12" s="659"/>
      <c r="I12" s="255" t="s">
        <v>523</v>
      </c>
      <c r="J12" s="283">
        <f t="shared" ref="J12:O12" si="7">(J6/8)*2080/12</f>
        <v>758.33333333333337</v>
      </c>
      <c r="K12" s="283">
        <f t="shared" si="7"/>
        <v>650</v>
      </c>
      <c r="L12" s="283">
        <f t="shared" si="7"/>
        <v>650</v>
      </c>
      <c r="M12" s="283">
        <f t="shared" si="7"/>
        <v>541.66666666666663</v>
      </c>
      <c r="N12" s="283">
        <f t="shared" si="7"/>
        <v>704.16666666666663</v>
      </c>
      <c r="O12" s="283">
        <f t="shared" si="7"/>
        <v>595.83333333333337</v>
      </c>
    </row>
    <row r="13" spans="1:17">
      <c r="A13" s="255" t="s">
        <v>524</v>
      </c>
      <c r="B13" s="283">
        <f t="shared" si="5"/>
        <v>866.66666666666663</v>
      </c>
      <c r="C13" s="283">
        <f t="shared" si="5"/>
        <v>780</v>
      </c>
      <c r="D13" s="283">
        <f t="shared" si="5"/>
        <v>774.58333333333337</v>
      </c>
      <c r="E13" s="283">
        <f t="shared" si="5"/>
        <v>536.25</v>
      </c>
      <c r="F13" s="283">
        <f t="shared" si="5"/>
        <v>820.625</v>
      </c>
      <c r="G13" s="283">
        <f t="shared" si="5"/>
        <v>658.125</v>
      </c>
      <c r="H13" s="659"/>
      <c r="I13" s="255" t="s">
        <v>524</v>
      </c>
      <c r="J13" s="283">
        <f t="shared" ref="J13:O13" si="8">(J7/8)*2080/12</f>
        <v>715</v>
      </c>
      <c r="K13" s="283">
        <f t="shared" si="8"/>
        <v>650</v>
      </c>
      <c r="L13" s="283">
        <f t="shared" si="8"/>
        <v>650</v>
      </c>
      <c r="M13" s="283">
        <f t="shared" si="8"/>
        <v>541.66666666666663</v>
      </c>
      <c r="N13" s="283">
        <f t="shared" si="8"/>
        <v>682.5</v>
      </c>
      <c r="O13" s="283">
        <f t="shared" si="8"/>
        <v>595.83333333333337</v>
      </c>
    </row>
    <row r="14" spans="1:17">
      <c r="A14" s="284"/>
      <c r="B14" s="284"/>
      <c r="C14" s="284"/>
      <c r="D14" s="284"/>
      <c r="E14" s="284"/>
      <c r="F14" s="284"/>
      <c r="G14" s="284"/>
      <c r="H14" s="659"/>
      <c r="I14" s="658"/>
      <c r="J14" s="658"/>
      <c r="K14" s="658"/>
      <c r="L14" s="658"/>
      <c r="M14" s="658"/>
      <c r="N14" s="658"/>
      <c r="O14" s="658"/>
    </row>
    <row r="15" spans="1:17" ht="14.1" thickBot="1">
      <c r="B15" s="891" t="str">
        <f>B2</f>
        <v>Urban</v>
      </c>
      <c r="C15" s="891"/>
      <c r="D15" s="891" t="str">
        <f>D2</f>
        <v>Rural</v>
      </c>
      <c r="E15" s="891"/>
      <c r="F15" s="255" t="s">
        <v>367</v>
      </c>
      <c r="H15" s="659"/>
      <c r="J15" s="891" t="str">
        <f>J2</f>
        <v>Urban</v>
      </c>
      <c r="K15" s="891"/>
      <c r="L15" s="891" t="str">
        <f>L2</f>
        <v>Rural</v>
      </c>
      <c r="M15" s="891"/>
      <c r="N15" s="255" t="s">
        <v>367</v>
      </c>
    </row>
    <row r="16" spans="1:17" ht="14.1">
      <c r="A16" s="277" t="s">
        <v>525</v>
      </c>
      <c r="B16" s="278" t="s">
        <v>519</v>
      </c>
      <c r="C16" s="261" t="s">
        <v>520</v>
      </c>
      <c r="D16" s="278" t="s">
        <v>519</v>
      </c>
      <c r="E16" s="261" t="s">
        <v>520</v>
      </c>
      <c r="F16" s="278" t="s">
        <v>519</v>
      </c>
      <c r="G16" s="261" t="s">
        <v>520</v>
      </c>
      <c r="H16" s="659"/>
      <c r="I16" s="277" t="s">
        <v>525</v>
      </c>
      <c r="J16" s="278" t="s">
        <v>519</v>
      </c>
      <c r="K16" s="261" t="s">
        <v>520</v>
      </c>
      <c r="L16" s="278" t="s">
        <v>519</v>
      </c>
      <c r="M16" s="261" t="s">
        <v>520</v>
      </c>
      <c r="N16" s="278" t="s">
        <v>519</v>
      </c>
      <c r="O16" s="261" t="s">
        <v>520</v>
      </c>
    </row>
    <row r="17" spans="1:15">
      <c r="A17" s="255" t="s">
        <v>521</v>
      </c>
      <c r="B17" s="279">
        <v>61.2</v>
      </c>
      <c r="C17" s="279">
        <v>49.1</v>
      </c>
      <c r="D17" s="279">
        <f>SUM((D4*5%),D4)</f>
        <v>38.64</v>
      </c>
      <c r="E17" s="279">
        <f>SUM((E4*5%),E4)</f>
        <v>30.397500000000001</v>
      </c>
      <c r="F17" s="280">
        <f>AVERAGE(B17,D17)</f>
        <v>49.92</v>
      </c>
      <c r="G17" s="280">
        <f>AVERAGE(C17,E17)</f>
        <v>39.748750000000001</v>
      </c>
      <c r="H17" s="659"/>
      <c r="I17" s="255" t="s">
        <v>521</v>
      </c>
      <c r="J17" s="279">
        <v>37.299999999999997</v>
      </c>
      <c r="K17" s="279">
        <v>32.049999999999997</v>
      </c>
      <c r="L17" s="279">
        <v>31.8</v>
      </c>
      <c r="M17" s="279">
        <v>26.25</v>
      </c>
      <c r="N17" s="280">
        <f>AVERAGE(J17,L17)</f>
        <v>34.549999999999997</v>
      </c>
      <c r="O17" s="280">
        <f>AVERAGE(K17,M17)</f>
        <v>29.15</v>
      </c>
    </row>
    <row r="18" spans="1:15">
      <c r="A18" s="255" t="s">
        <v>522</v>
      </c>
      <c r="B18" s="279">
        <v>54.1</v>
      </c>
      <c r="C18" s="279">
        <f t="shared" ref="C18:E20" si="9">SUM((C5*5%),C5)</f>
        <v>43.05</v>
      </c>
      <c r="D18" s="279">
        <f t="shared" si="9"/>
        <v>36.75</v>
      </c>
      <c r="E18" s="279">
        <f t="shared" si="9"/>
        <v>29.294999999999998</v>
      </c>
      <c r="F18" s="280">
        <f>AVERAGE(B18,D18)</f>
        <v>45.424999999999997</v>
      </c>
      <c r="G18" s="280">
        <f>AVERAGE(C18,E18)</f>
        <v>36.172499999999999</v>
      </c>
      <c r="H18" s="659"/>
      <c r="I18" s="255" t="s">
        <v>522</v>
      </c>
      <c r="J18" s="279">
        <v>36.75</v>
      </c>
      <c r="K18" s="279">
        <v>31.5</v>
      </c>
      <c r="L18" s="279">
        <v>31.5</v>
      </c>
      <c r="M18" s="279">
        <v>26.25</v>
      </c>
      <c r="N18" s="280">
        <f>AVERAGE(J18,L18)</f>
        <v>34.125</v>
      </c>
      <c r="O18" s="280">
        <f>AVERAGE(K18,M18)</f>
        <v>28.875</v>
      </c>
    </row>
    <row r="19" spans="1:15">
      <c r="A19" s="255" t="s">
        <v>523</v>
      </c>
      <c r="B19" s="279">
        <v>46.85</v>
      </c>
      <c r="C19" s="279">
        <v>36.25</v>
      </c>
      <c r="D19" s="279">
        <f t="shared" ref="D19:E19" si="10">SUM((D6*5%),D6)</f>
        <v>36.015000000000001</v>
      </c>
      <c r="E19" s="279">
        <f t="shared" si="10"/>
        <v>25.2</v>
      </c>
      <c r="F19" s="280">
        <f t="shared" ref="F19:G20" si="11">AVERAGE(B19,D19)</f>
        <v>41.432500000000005</v>
      </c>
      <c r="G19" s="280">
        <f t="shared" si="11"/>
        <v>30.725000000000001</v>
      </c>
      <c r="H19" s="659"/>
      <c r="I19" s="255" t="s">
        <v>523</v>
      </c>
      <c r="J19" s="279">
        <v>36.75</v>
      </c>
      <c r="K19" s="279">
        <v>31.5</v>
      </c>
      <c r="L19" s="279">
        <v>31.5</v>
      </c>
      <c r="M19" s="279">
        <v>26.25</v>
      </c>
      <c r="N19" s="280">
        <f t="shared" ref="N19:N20" si="12">AVERAGE(J19,L19)</f>
        <v>34.125</v>
      </c>
      <c r="O19" s="280">
        <f t="shared" ref="O19:O20" si="13">AVERAGE(K19,M19)</f>
        <v>28.875</v>
      </c>
    </row>
    <row r="20" spans="1:15">
      <c r="A20" s="255" t="s">
        <v>524</v>
      </c>
      <c r="B20" s="279">
        <f t="shared" ref="B20" si="14">SUM((B7*5%),B7)</f>
        <v>42</v>
      </c>
      <c r="C20" s="279">
        <f t="shared" si="9"/>
        <v>37.799999999999997</v>
      </c>
      <c r="D20" s="279">
        <f t="shared" si="9"/>
        <v>37.537500000000001</v>
      </c>
      <c r="E20" s="279">
        <f t="shared" si="9"/>
        <v>25.987500000000001</v>
      </c>
      <c r="F20" s="280">
        <f t="shared" si="11"/>
        <v>39.768749999999997</v>
      </c>
      <c r="G20" s="280">
        <f t="shared" si="11"/>
        <v>31.893749999999997</v>
      </c>
      <c r="H20" s="659"/>
      <c r="I20" s="255" t="s">
        <v>524</v>
      </c>
      <c r="J20" s="279">
        <v>34.65</v>
      </c>
      <c r="K20" s="279">
        <v>31.5</v>
      </c>
      <c r="L20" s="279">
        <v>31.5</v>
      </c>
      <c r="M20" s="279">
        <v>26.25</v>
      </c>
      <c r="N20" s="280">
        <f t="shared" si="12"/>
        <v>33.075000000000003</v>
      </c>
      <c r="O20" s="280">
        <f t="shared" si="13"/>
        <v>28.875</v>
      </c>
    </row>
    <row r="21" spans="1:15">
      <c r="H21" s="659"/>
    </row>
    <row r="22" spans="1:15">
      <c r="A22" s="282" t="s">
        <v>177</v>
      </c>
      <c r="H22" s="659"/>
      <c r="I22" s="282" t="s">
        <v>177</v>
      </c>
    </row>
    <row r="23" spans="1:15">
      <c r="A23" s="255" t="s">
        <v>521</v>
      </c>
      <c r="B23" s="283">
        <f>(B17/8)*2080/12</f>
        <v>1326</v>
      </c>
      <c r="C23" s="283">
        <f t="shared" ref="C23:G23" si="15">(C17/8)*2080/12</f>
        <v>1063.8333333333333</v>
      </c>
      <c r="D23" s="283">
        <f t="shared" si="15"/>
        <v>837.19999999999993</v>
      </c>
      <c r="E23" s="283">
        <f t="shared" si="15"/>
        <v>658.61250000000007</v>
      </c>
      <c r="F23" s="283">
        <f t="shared" si="15"/>
        <v>1081.6000000000001</v>
      </c>
      <c r="G23" s="283">
        <f t="shared" si="15"/>
        <v>861.22291666666672</v>
      </c>
      <c r="H23" s="659"/>
      <c r="I23" s="255" t="s">
        <v>521</v>
      </c>
      <c r="J23" s="283">
        <f>(J17/8)*2080/12</f>
        <v>808.16666666666663</v>
      </c>
      <c r="K23" s="283">
        <f t="shared" ref="K23:O23" si="16">(K17/8)*2080/12</f>
        <v>694.41666666666663</v>
      </c>
      <c r="L23" s="283">
        <f t="shared" si="16"/>
        <v>689</v>
      </c>
      <c r="M23" s="283">
        <f t="shared" si="16"/>
        <v>568.75</v>
      </c>
      <c r="N23" s="283">
        <f t="shared" si="16"/>
        <v>748.58333333333337</v>
      </c>
      <c r="O23" s="283">
        <f t="shared" si="16"/>
        <v>631.58333333333337</v>
      </c>
    </row>
    <row r="24" spans="1:15">
      <c r="A24" s="255" t="s">
        <v>522</v>
      </c>
      <c r="B24" s="283">
        <f t="shared" ref="B24:G26" si="17">(B18/8)*2080/12</f>
        <v>1172.1666666666667</v>
      </c>
      <c r="C24" s="283">
        <f t="shared" si="17"/>
        <v>932.75</v>
      </c>
      <c r="D24" s="283">
        <f t="shared" si="17"/>
        <v>796.25</v>
      </c>
      <c r="E24" s="283">
        <f t="shared" si="17"/>
        <v>634.72500000000002</v>
      </c>
      <c r="F24" s="283">
        <f t="shared" si="17"/>
        <v>984.20833333333337</v>
      </c>
      <c r="G24" s="283">
        <f t="shared" si="17"/>
        <v>783.73750000000007</v>
      </c>
      <c r="H24" s="659"/>
      <c r="I24" s="255" t="s">
        <v>522</v>
      </c>
      <c r="J24" s="283">
        <f t="shared" ref="J24:O26" si="18">(J18/8)*2080/12</f>
        <v>796.25</v>
      </c>
      <c r="K24" s="283">
        <f t="shared" si="18"/>
        <v>682.5</v>
      </c>
      <c r="L24" s="283">
        <f t="shared" si="18"/>
        <v>682.5</v>
      </c>
      <c r="M24" s="283">
        <f t="shared" si="18"/>
        <v>568.75</v>
      </c>
      <c r="N24" s="283">
        <f t="shared" si="18"/>
        <v>739.375</v>
      </c>
      <c r="O24" s="283">
        <f t="shared" si="18"/>
        <v>625.625</v>
      </c>
    </row>
    <row r="25" spans="1:15">
      <c r="A25" s="255" t="s">
        <v>523</v>
      </c>
      <c r="B25" s="283">
        <f t="shared" si="17"/>
        <v>1015.0833333333334</v>
      </c>
      <c r="C25" s="283">
        <f t="shared" si="17"/>
        <v>785.41666666666663</v>
      </c>
      <c r="D25" s="283">
        <f t="shared" si="17"/>
        <v>780.32499999999993</v>
      </c>
      <c r="E25" s="283">
        <f t="shared" si="17"/>
        <v>546</v>
      </c>
      <c r="F25" s="283">
        <f t="shared" si="17"/>
        <v>897.70416666666677</v>
      </c>
      <c r="G25" s="283">
        <f t="shared" si="17"/>
        <v>665.70833333333337</v>
      </c>
      <c r="H25" s="659"/>
      <c r="I25" s="255" t="s">
        <v>523</v>
      </c>
      <c r="J25" s="283">
        <f t="shared" si="18"/>
        <v>796.25</v>
      </c>
      <c r="K25" s="283">
        <f t="shared" si="18"/>
        <v>682.5</v>
      </c>
      <c r="L25" s="283">
        <f t="shared" si="18"/>
        <v>682.5</v>
      </c>
      <c r="M25" s="283">
        <f t="shared" si="18"/>
        <v>568.75</v>
      </c>
      <c r="N25" s="283">
        <f t="shared" si="18"/>
        <v>739.375</v>
      </c>
      <c r="O25" s="283">
        <f t="shared" si="18"/>
        <v>625.625</v>
      </c>
    </row>
    <row r="26" spans="1:15">
      <c r="A26" s="255" t="s">
        <v>524</v>
      </c>
      <c r="B26" s="283">
        <f t="shared" si="17"/>
        <v>910</v>
      </c>
      <c r="C26" s="283">
        <f t="shared" si="17"/>
        <v>819</v>
      </c>
      <c r="D26" s="283">
        <f t="shared" si="17"/>
        <v>813.3125</v>
      </c>
      <c r="E26" s="283">
        <f t="shared" si="17"/>
        <v>563.0625</v>
      </c>
      <c r="F26" s="283">
        <f t="shared" si="17"/>
        <v>861.65625</v>
      </c>
      <c r="G26" s="283">
        <f t="shared" si="17"/>
        <v>691.03125</v>
      </c>
      <c r="H26" s="659"/>
      <c r="I26" s="255" t="s">
        <v>524</v>
      </c>
      <c r="J26" s="283">
        <f t="shared" si="18"/>
        <v>750.75</v>
      </c>
      <c r="K26" s="283">
        <f t="shared" si="18"/>
        <v>682.5</v>
      </c>
      <c r="L26" s="283">
        <f t="shared" si="18"/>
        <v>682.5</v>
      </c>
      <c r="M26" s="283">
        <f t="shared" si="18"/>
        <v>568.75</v>
      </c>
      <c r="N26" s="283">
        <f t="shared" si="18"/>
        <v>716.625</v>
      </c>
      <c r="O26" s="283">
        <f t="shared" si="18"/>
        <v>625.625</v>
      </c>
    </row>
    <row r="27" spans="1:15">
      <c r="A27" s="284"/>
      <c r="B27" s="284"/>
      <c r="C27" s="284"/>
      <c r="D27" s="284"/>
      <c r="E27" s="284"/>
      <c r="F27" s="284"/>
      <c r="G27" s="284"/>
      <c r="H27" s="659"/>
      <c r="I27" s="658"/>
      <c r="J27" s="658"/>
      <c r="K27" s="658"/>
      <c r="L27" s="658"/>
      <c r="M27" s="658"/>
      <c r="N27" s="658"/>
      <c r="O27" s="658"/>
    </row>
    <row r="28" spans="1:15" ht="14.1" thickBot="1">
      <c r="B28" s="891" t="str">
        <f>B15</f>
        <v>Urban</v>
      </c>
      <c r="C28" s="891"/>
      <c r="D28" s="891" t="str">
        <f>D15</f>
        <v>Rural</v>
      </c>
      <c r="E28" s="891"/>
      <c r="F28" s="255" t="s">
        <v>367</v>
      </c>
      <c r="H28" s="659"/>
      <c r="J28" s="891" t="str">
        <f>J15</f>
        <v>Urban</v>
      </c>
      <c r="K28" s="891"/>
      <c r="L28" s="891" t="str">
        <f>L15</f>
        <v>Rural</v>
      </c>
      <c r="M28" s="891"/>
      <c r="N28" s="255" t="s">
        <v>367</v>
      </c>
    </row>
    <row r="29" spans="1:15" ht="14.1">
      <c r="A29" s="277" t="s">
        <v>94</v>
      </c>
      <c r="B29" s="278" t="s">
        <v>519</v>
      </c>
      <c r="C29" s="261" t="s">
        <v>520</v>
      </c>
      <c r="D29" s="278" t="s">
        <v>519</v>
      </c>
      <c r="E29" s="261" t="s">
        <v>520</v>
      </c>
      <c r="F29" s="278" t="s">
        <v>519</v>
      </c>
      <c r="G29" s="261" t="s">
        <v>520</v>
      </c>
      <c r="H29" s="659"/>
      <c r="I29" s="277" t="s">
        <v>94</v>
      </c>
      <c r="J29" s="278" t="s">
        <v>519</v>
      </c>
      <c r="K29" s="261" t="s">
        <v>520</v>
      </c>
      <c r="L29" s="278" t="s">
        <v>519</v>
      </c>
      <c r="M29" s="261" t="s">
        <v>520</v>
      </c>
      <c r="N29" s="278" t="s">
        <v>519</v>
      </c>
      <c r="O29" s="261" t="s">
        <v>520</v>
      </c>
    </row>
    <row r="30" spans="1:15">
      <c r="A30" s="255" t="s">
        <v>521</v>
      </c>
      <c r="B30" s="279">
        <v>64.25</v>
      </c>
      <c r="C30" s="279">
        <v>51.55</v>
      </c>
      <c r="D30" s="279">
        <v>40.6</v>
      </c>
      <c r="E30" s="279">
        <v>31.95</v>
      </c>
      <c r="F30" s="280">
        <f>AVERAGE(B30,D30)</f>
        <v>52.424999999999997</v>
      </c>
      <c r="G30" s="280">
        <f>AVERAGE(C30,E30)</f>
        <v>41.75</v>
      </c>
      <c r="H30" s="659"/>
      <c r="I30" s="255" t="s">
        <v>521</v>
      </c>
      <c r="J30" s="279">
        <v>39.15</v>
      </c>
      <c r="K30" s="279">
        <v>33.65</v>
      </c>
      <c r="L30" s="279">
        <v>33.4</v>
      </c>
      <c r="M30" s="279">
        <v>27.6</v>
      </c>
      <c r="N30" s="280">
        <f>AVERAGE(J30,L30)</f>
        <v>36.274999999999999</v>
      </c>
      <c r="O30" s="280">
        <f>AVERAGE(K30,M30)</f>
        <v>30.625</v>
      </c>
    </row>
    <row r="31" spans="1:15">
      <c r="A31" s="255" t="s">
        <v>522</v>
      </c>
      <c r="B31" s="279">
        <v>56.8</v>
      </c>
      <c r="C31" s="279">
        <f t="shared" ref="B31:C33" si="19">SUM((C18*5%),C18)</f>
        <v>45.202500000000001</v>
      </c>
      <c r="D31" s="279">
        <v>38.6</v>
      </c>
      <c r="E31" s="279">
        <v>30.8</v>
      </c>
      <c r="F31" s="280">
        <f t="shared" ref="F31:G33" si="20">AVERAGE(B31,D31)</f>
        <v>47.7</v>
      </c>
      <c r="G31" s="280">
        <f t="shared" si="20"/>
        <v>38.001249999999999</v>
      </c>
      <c r="H31" s="659"/>
      <c r="I31" s="255" t="s">
        <v>522</v>
      </c>
      <c r="J31" s="279">
        <v>38.6</v>
      </c>
      <c r="K31" s="279">
        <v>33.1</v>
      </c>
      <c r="L31" s="279">
        <v>33.1</v>
      </c>
      <c r="M31" s="279">
        <v>27.6</v>
      </c>
      <c r="N31" s="280">
        <f t="shared" ref="N31:N33" si="21">AVERAGE(J31,L31)</f>
        <v>35.85</v>
      </c>
      <c r="O31" s="280">
        <f t="shared" ref="O31:O33" si="22">AVERAGE(K31,M31)</f>
        <v>30.35</v>
      </c>
    </row>
    <row r="32" spans="1:15">
      <c r="A32" s="255" t="s">
        <v>523</v>
      </c>
      <c r="B32" s="279">
        <v>49.2</v>
      </c>
      <c r="C32" s="279">
        <v>38.049999999999997</v>
      </c>
      <c r="D32" s="279">
        <v>37.799999999999997</v>
      </c>
      <c r="E32" s="279">
        <v>26.5</v>
      </c>
      <c r="F32" s="280">
        <f t="shared" si="20"/>
        <v>43.5</v>
      </c>
      <c r="G32" s="280">
        <f t="shared" si="20"/>
        <v>32.274999999999999</v>
      </c>
      <c r="H32" s="659"/>
      <c r="I32" s="255" t="s">
        <v>523</v>
      </c>
      <c r="J32" s="279">
        <v>38.6</v>
      </c>
      <c r="K32" s="279">
        <v>33.1</v>
      </c>
      <c r="L32" s="279">
        <v>33.1</v>
      </c>
      <c r="M32" s="279">
        <v>27.6</v>
      </c>
      <c r="N32" s="280">
        <f t="shared" si="21"/>
        <v>35.85</v>
      </c>
      <c r="O32" s="280">
        <f t="shared" si="22"/>
        <v>30.35</v>
      </c>
    </row>
    <row r="33" spans="1:15">
      <c r="A33" s="255" t="s">
        <v>524</v>
      </c>
      <c r="B33" s="279">
        <f t="shared" si="19"/>
        <v>44.1</v>
      </c>
      <c r="C33" s="279">
        <v>39.700000000000003</v>
      </c>
      <c r="D33" s="279">
        <v>39.4</v>
      </c>
      <c r="E33" s="279">
        <v>27.3</v>
      </c>
      <c r="F33" s="280">
        <f t="shared" si="20"/>
        <v>41.75</v>
      </c>
      <c r="G33" s="280">
        <f t="shared" si="20"/>
        <v>33.5</v>
      </c>
      <c r="H33" s="659"/>
      <c r="I33" s="255" t="s">
        <v>524</v>
      </c>
      <c r="J33" s="279">
        <v>36.4</v>
      </c>
      <c r="K33" s="279">
        <v>33.1</v>
      </c>
      <c r="L33" s="279">
        <v>33.1</v>
      </c>
      <c r="M33" s="279">
        <v>27.6</v>
      </c>
      <c r="N33" s="280">
        <f t="shared" si="21"/>
        <v>34.75</v>
      </c>
      <c r="O33" s="280">
        <f t="shared" si="22"/>
        <v>30.35</v>
      </c>
    </row>
    <row r="34" spans="1:15">
      <c r="B34" s="281"/>
      <c r="F34" s="280"/>
      <c r="G34" s="280"/>
      <c r="H34" s="659"/>
      <c r="J34" s="281"/>
      <c r="N34" s="280"/>
      <c r="O34" s="280"/>
    </row>
    <row r="35" spans="1:15">
      <c r="A35" s="282" t="s">
        <v>177</v>
      </c>
      <c r="H35" s="659"/>
      <c r="I35" s="282" t="s">
        <v>177</v>
      </c>
    </row>
    <row r="36" spans="1:15">
      <c r="A36" s="255" t="s">
        <v>521</v>
      </c>
      <c r="B36" s="283">
        <f>(B30/8)*2080/12</f>
        <v>1392.0833333333333</v>
      </c>
      <c r="C36" s="283">
        <f t="shared" ref="C36:G36" si="23">(C30/8)*2080/12</f>
        <v>1116.9166666666667</v>
      </c>
      <c r="D36" s="283">
        <f t="shared" si="23"/>
        <v>879.66666666666663</v>
      </c>
      <c r="E36" s="283">
        <f t="shared" si="23"/>
        <v>692.25</v>
      </c>
      <c r="F36" s="283">
        <f t="shared" si="23"/>
        <v>1135.875</v>
      </c>
      <c r="G36" s="283">
        <f t="shared" si="23"/>
        <v>904.58333333333337</v>
      </c>
      <c r="H36" s="659"/>
      <c r="I36" s="255" t="s">
        <v>521</v>
      </c>
      <c r="J36" s="283">
        <f>(J30/8)*2080/12</f>
        <v>848.25</v>
      </c>
      <c r="K36" s="283">
        <f t="shared" ref="K36:O36" si="24">(K30/8)*2080/12</f>
        <v>729.08333333333337</v>
      </c>
      <c r="L36" s="283">
        <f t="shared" si="24"/>
        <v>723.66666666666663</v>
      </c>
      <c r="M36" s="283">
        <f t="shared" si="24"/>
        <v>598</v>
      </c>
      <c r="N36" s="283">
        <f t="shared" si="24"/>
        <v>785.95833333333337</v>
      </c>
      <c r="O36" s="283">
        <f t="shared" si="24"/>
        <v>663.54166666666663</v>
      </c>
    </row>
    <row r="37" spans="1:15">
      <c r="A37" s="255" t="s">
        <v>522</v>
      </c>
      <c r="B37" s="283">
        <f t="shared" ref="B37:G39" si="25">(B31/8)*2080/12</f>
        <v>1230.6666666666667</v>
      </c>
      <c r="C37" s="283">
        <f t="shared" si="25"/>
        <v>979.38749999999993</v>
      </c>
      <c r="D37" s="283">
        <f t="shared" si="25"/>
        <v>836.33333333333337</v>
      </c>
      <c r="E37" s="283">
        <f t="shared" si="25"/>
        <v>667.33333333333337</v>
      </c>
      <c r="F37" s="283">
        <f t="shared" si="25"/>
        <v>1033.5</v>
      </c>
      <c r="G37" s="283">
        <f t="shared" si="25"/>
        <v>823.36041666666654</v>
      </c>
      <c r="H37" s="659"/>
      <c r="I37" s="255" t="s">
        <v>522</v>
      </c>
      <c r="J37" s="283">
        <f t="shared" ref="J37:O37" si="26">(J31/8)*2080/12</f>
        <v>836.33333333333337</v>
      </c>
      <c r="K37" s="283">
        <f t="shared" si="26"/>
        <v>717.16666666666663</v>
      </c>
      <c r="L37" s="283">
        <f t="shared" si="26"/>
        <v>717.16666666666663</v>
      </c>
      <c r="M37" s="283">
        <f t="shared" si="26"/>
        <v>598</v>
      </c>
      <c r="N37" s="283">
        <f t="shared" si="26"/>
        <v>776.75</v>
      </c>
      <c r="O37" s="283">
        <f t="shared" si="26"/>
        <v>657.58333333333337</v>
      </c>
    </row>
    <row r="38" spans="1:15">
      <c r="A38" s="255" t="s">
        <v>523</v>
      </c>
      <c r="B38" s="283">
        <f t="shared" si="25"/>
        <v>1066</v>
      </c>
      <c r="C38" s="283">
        <f t="shared" si="25"/>
        <v>824.41666666666663</v>
      </c>
      <c r="D38" s="283">
        <f t="shared" si="25"/>
        <v>819</v>
      </c>
      <c r="E38" s="283">
        <f t="shared" si="25"/>
        <v>574.16666666666663</v>
      </c>
      <c r="F38" s="283">
        <f t="shared" si="25"/>
        <v>942.5</v>
      </c>
      <c r="G38" s="283">
        <f t="shared" si="25"/>
        <v>699.29166666666663</v>
      </c>
      <c r="H38" s="659"/>
      <c r="I38" s="255" t="s">
        <v>523</v>
      </c>
      <c r="J38" s="283">
        <f t="shared" ref="J38:O38" si="27">(J32/8)*2080/12</f>
        <v>836.33333333333337</v>
      </c>
      <c r="K38" s="283">
        <f t="shared" si="27"/>
        <v>717.16666666666663</v>
      </c>
      <c r="L38" s="283">
        <f t="shared" si="27"/>
        <v>717.16666666666663</v>
      </c>
      <c r="M38" s="283">
        <f t="shared" si="27"/>
        <v>598</v>
      </c>
      <c r="N38" s="283">
        <f t="shared" si="27"/>
        <v>776.75</v>
      </c>
      <c r="O38" s="283">
        <f t="shared" si="27"/>
        <v>657.58333333333337</v>
      </c>
    </row>
    <row r="39" spans="1:15">
      <c r="A39" s="255" t="s">
        <v>524</v>
      </c>
      <c r="B39" s="283">
        <f t="shared" si="25"/>
        <v>955.5</v>
      </c>
      <c r="C39" s="283">
        <f t="shared" si="25"/>
        <v>860.16666666666663</v>
      </c>
      <c r="D39" s="283">
        <f t="shared" si="25"/>
        <v>853.66666666666663</v>
      </c>
      <c r="E39" s="283">
        <f t="shared" si="25"/>
        <v>591.5</v>
      </c>
      <c r="F39" s="283">
        <f t="shared" si="25"/>
        <v>904.58333333333337</v>
      </c>
      <c r="G39" s="283">
        <f t="shared" si="25"/>
        <v>725.83333333333337</v>
      </c>
      <c r="H39" s="659"/>
      <c r="I39" s="255" t="s">
        <v>524</v>
      </c>
      <c r="J39" s="283">
        <f t="shared" ref="J39:O39" si="28">(J33/8)*2080/12</f>
        <v>788.66666666666663</v>
      </c>
      <c r="K39" s="283">
        <f t="shared" si="28"/>
        <v>717.16666666666663</v>
      </c>
      <c r="L39" s="283">
        <f t="shared" si="28"/>
        <v>717.16666666666663</v>
      </c>
      <c r="M39" s="283">
        <f t="shared" si="28"/>
        <v>598</v>
      </c>
      <c r="N39" s="283">
        <f t="shared" si="28"/>
        <v>752.91666666666663</v>
      </c>
      <c r="O39" s="283">
        <f t="shared" si="28"/>
        <v>657.58333333333337</v>
      </c>
    </row>
    <row r="40" spans="1:15">
      <c r="A40" s="284"/>
      <c r="B40" s="284"/>
      <c r="C40" s="284"/>
      <c r="D40" s="284"/>
      <c r="E40" s="284"/>
      <c r="F40" s="284"/>
      <c r="G40" s="284"/>
      <c r="H40" s="659"/>
      <c r="I40" s="658"/>
      <c r="J40" s="658"/>
      <c r="K40" s="658"/>
      <c r="L40" s="658"/>
      <c r="M40" s="658"/>
      <c r="N40" s="658"/>
      <c r="O40" s="658"/>
    </row>
    <row r="41" spans="1:15" ht="14.1" thickBot="1">
      <c r="B41" s="891" t="str">
        <f>B28</f>
        <v>Urban</v>
      </c>
      <c r="C41" s="891"/>
      <c r="D41" s="891" t="str">
        <f>D28</f>
        <v>Rural</v>
      </c>
      <c r="E41" s="891"/>
      <c r="F41" s="255" t="s">
        <v>367</v>
      </c>
      <c r="H41" s="659"/>
      <c r="J41" s="891" t="str">
        <f>J28</f>
        <v>Urban</v>
      </c>
      <c r="K41" s="891"/>
      <c r="L41" s="891" t="str">
        <f>L28</f>
        <v>Rural</v>
      </c>
      <c r="M41" s="891"/>
      <c r="N41" s="255" t="s">
        <v>367</v>
      </c>
    </row>
    <row r="42" spans="1:15" ht="14.1">
      <c r="A42" s="277" t="s">
        <v>95</v>
      </c>
      <c r="B42" s="278" t="s">
        <v>519</v>
      </c>
      <c r="C42" s="261" t="s">
        <v>520</v>
      </c>
      <c r="D42" s="278" t="s">
        <v>519</v>
      </c>
      <c r="E42" s="261" t="s">
        <v>520</v>
      </c>
      <c r="F42" s="278" t="s">
        <v>519</v>
      </c>
      <c r="G42" s="261" t="s">
        <v>520</v>
      </c>
      <c r="H42" s="659"/>
      <c r="I42" s="277" t="s">
        <v>95</v>
      </c>
      <c r="J42" s="278" t="s">
        <v>519</v>
      </c>
      <c r="K42" s="261" t="s">
        <v>520</v>
      </c>
      <c r="L42" s="278" t="s">
        <v>519</v>
      </c>
      <c r="M42" s="261" t="s">
        <v>520</v>
      </c>
      <c r="N42" s="278" t="s">
        <v>519</v>
      </c>
      <c r="O42" s="261" t="s">
        <v>520</v>
      </c>
    </row>
    <row r="43" spans="1:15">
      <c r="A43" s="255" t="s">
        <v>521</v>
      </c>
      <c r="B43" s="279">
        <v>67.45</v>
      </c>
      <c r="C43" s="279">
        <v>54.15</v>
      </c>
      <c r="D43" s="279">
        <v>42.65</v>
      </c>
      <c r="E43" s="279">
        <f t="shared" ref="E43" si="29">SUM((E30*5%),E30)</f>
        <v>33.547499999999999</v>
      </c>
      <c r="F43" s="280">
        <f>AVERAGE(B43,D43)</f>
        <v>55.05</v>
      </c>
      <c r="G43" s="280">
        <f>AVERAGE(C43,E43)</f>
        <v>43.848749999999995</v>
      </c>
      <c r="H43" s="659"/>
      <c r="I43" s="255" t="s">
        <v>521</v>
      </c>
      <c r="J43" s="279">
        <v>41.1</v>
      </c>
      <c r="K43" s="279">
        <v>35.35</v>
      </c>
      <c r="L43" s="279">
        <v>35.049999999999997</v>
      </c>
      <c r="M43" s="279">
        <v>28.95</v>
      </c>
      <c r="N43" s="280">
        <f>AVERAGE(J43,L43)</f>
        <v>38.075000000000003</v>
      </c>
      <c r="O43" s="280">
        <f>AVERAGE(K43,M43)</f>
        <v>32.15</v>
      </c>
    </row>
    <row r="44" spans="1:15">
      <c r="A44" s="255" t="s">
        <v>522</v>
      </c>
      <c r="B44" s="279">
        <v>59.65</v>
      </c>
      <c r="C44" s="279">
        <v>47.5</v>
      </c>
      <c r="D44" s="279">
        <v>40.549999999999997</v>
      </c>
      <c r="E44" s="279">
        <v>32.299999999999997</v>
      </c>
      <c r="F44" s="280">
        <f t="shared" ref="F44:G46" si="30">AVERAGE(B44,D44)</f>
        <v>50.099999999999994</v>
      </c>
      <c r="G44" s="280">
        <f t="shared" si="30"/>
        <v>39.9</v>
      </c>
      <c r="H44" s="659"/>
      <c r="I44" s="255" t="s">
        <v>522</v>
      </c>
      <c r="J44" s="279">
        <v>40.549999999999997</v>
      </c>
      <c r="K44" s="279">
        <v>34.75</v>
      </c>
      <c r="L44" s="279">
        <v>34.75</v>
      </c>
      <c r="M44" s="279">
        <v>28.95</v>
      </c>
      <c r="N44" s="280">
        <f t="shared" ref="N44:N46" si="31">AVERAGE(J44,L44)</f>
        <v>37.65</v>
      </c>
      <c r="O44" s="280">
        <f t="shared" ref="O44:O46" si="32">AVERAGE(K44,M44)</f>
        <v>31.85</v>
      </c>
    </row>
    <row r="45" spans="1:15">
      <c r="A45" s="255" t="s">
        <v>523</v>
      </c>
      <c r="B45" s="279">
        <v>51.65</v>
      </c>
      <c r="C45" s="279">
        <f t="shared" ref="C45" si="33">SUM((C32*5%),C32)</f>
        <v>39.952500000000001</v>
      </c>
      <c r="D45" s="279">
        <v>39.75</v>
      </c>
      <c r="E45" s="279">
        <v>27.8</v>
      </c>
      <c r="F45" s="280">
        <f t="shared" si="30"/>
        <v>45.7</v>
      </c>
      <c r="G45" s="280">
        <f t="shared" si="30"/>
        <v>33.876249999999999</v>
      </c>
      <c r="H45" s="659"/>
      <c r="I45" s="255" t="s">
        <v>523</v>
      </c>
      <c r="J45" s="279">
        <v>40.549999999999997</v>
      </c>
      <c r="K45" s="279">
        <v>34.75</v>
      </c>
      <c r="L45" s="279">
        <v>34.75</v>
      </c>
      <c r="M45" s="279">
        <v>28.95</v>
      </c>
      <c r="N45" s="280">
        <f t="shared" si="31"/>
        <v>37.65</v>
      </c>
      <c r="O45" s="280">
        <f t="shared" si="32"/>
        <v>31.85</v>
      </c>
    </row>
    <row r="46" spans="1:15">
      <c r="A46" s="255" t="s">
        <v>524</v>
      </c>
      <c r="B46" s="279">
        <v>46.3</v>
      </c>
      <c r="C46" s="279">
        <v>41.7</v>
      </c>
      <c r="D46" s="279">
        <v>41.4</v>
      </c>
      <c r="E46" s="279">
        <v>28.7</v>
      </c>
      <c r="F46" s="280">
        <f t="shared" si="30"/>
        <v>43.849999999999994</v>
      </c>
      <c r="G46" s="280">
        <f t="shared" si="30"/>
        <v>35.200000000000003</v>
      </c>
      <c r="H46" s="659"/>
      <c r="I46" s="255" t="s">
        <v>524</v>
      </c>
      <c r="J46" s="279">
        <v>38.25</v>
      </c>
      <c r="K46" s="279">
        <v>34.75</v>
      </c>
      <c r="L46" s="279">
        <v>34.75</v>
      </c>
      <c r="M46" s="279">
        <v>28.95</v>
      </c>
      <c r="N46" s="280">
        <f t="shared" si="31"/>
        <v>36.5</v>
      </c>
      <c r="O46" s="280">
        <f t="shared" si="32"/>
        <v>31.85</v>
      </c>
    </row>
    <row r="47" spans="1:15">
      <c r="H47" s="659"/>
    </row>
    <row r="48" spans="1:15">
      <c r="A48" s="282" t="s">
        <v>177</v>
      </c>
      <c r="H48" s="659"/>
      <c r="I48" s="282" t="s">
        <v>177</v>
      </c>
    </row>
    <row r="49" spans="1:15">
      <c r="A49" s="255" t="s">
        <v>521</v>
      </c>
      <c r="B49" s="283">
        <f>(B43/8)*2080/12</f>
        <v>1461.4166666666667</v>
      </c>
      <c r="C49" s="283">
        <f t="shared" ref="C49:G49" si="34">(C43/8)*2080/12</f>
        <v>1173.25</v>
      </c>
      <c r="D49" s="283">
        <f t="shared" si="34"/>
        <v>924.08333333333337</v>
      </c>
      <c r="E49" s="283">
        <f t="shared" si="34"/>
        <v>726.86250000000007</v>
      </c>
      <c r="F49" s="283">
        <f t="shared" si="34"/>
        <v>1192.75</v>
      </c>
      <c r="G49" s="283">
        <f t="shared" si="34"/>
        <v>950.05624999999998</v>
      </c>
      <c r="H49" s="659"/>
      <c r="I49" s="255" t="s">
        <v>521</v>
      </c>
      <c r="J49" s="283">
        <f>(J43/8)*2080/12</f>
        <v>890.5</v>
      </c>
      <c r="K49" s="283">
        <f t="shared" ref="K49:O49" si="35">(K43/8)*2080/12</f>
        <v>765.91666666666663</v>
      </c>
      <c r="L49" s="283">
        <f t="shared" si="35"/>
        <v>759.41666666666663</v>
      </c>
      <c r="M49" s="283">
        <f t="shared" si="35"/>
        <v>627.25</v>
      </c>
      <c r="N49" s="283">
        <f t="shared" si="35"/>
        <v>824.95833333333337</v>
      </c>
      <c r="O49" s="283">
        <f t="shared" si="35"/>
        <v>696.58333333333337</v>
      </c>
    </row>
    <row r="50" spans="1:15">
      <c r="A50" s="255" t="s">
        <v>522</v>
      </c>
      <c r="B50" s="283">
        <f t="shared" ref="B50:G52" si="36">(B44/8)*2080/12</f>
        <v>1292.4166666666667</v>
      </c>
      <c r="C50" s="283">
        <f t="shared" si="36"/>
        <v>1029.1666666666667</v>
      </c>
      <c r="D50" s="283">
        <f t="shared" si="36"/>
        <v>878.58333333333337</v>
      </c>
      <c r="E50" s="283">
        <f t="shared" si="36"/>
        <v>699.83333333333337</v>
      </c>
      <c r="F50" s="283">
        <f t="shared" si="36"/>
        <v>1085.4999999999998</v>
      </c>
      <c r="G50" s="283">
        <f t="shared" si="36"/>
        <v>864.5</v>
      </c>
      <c r="H50" s="659"/>
      <c r="I50" s="255" t="s">
        <v>522</v>
      </c>
      <c r="J50" s="283">
        <f t="shared" ref="J50:O52" si="37">(J44/8)*2080/12</f>
        <v>878.58333333333337</v>
      </c>
      <c r="K50" s="283">
        <f t="shared" si="37"/>
        <v>752.91666666666663</v>
      </c>
      <c r="L50" s="283">
        <f t="shared" si="37"/>
        <v>752.91666666666663</v>
      </c>
      <c r="M50" s="283">
        <f t="shared" si="37"/>
        <v>627.25</v>
      </c>
      <c r="N50" s="283">
        <f t="shared" si="37"/>
        <v>815.75</v>
      </c>
      <c r="O50" s="283">
        <f t="shared" si="37"/>
        <v>690.08333333333337</v>
      </c>
    </row>
    <row r="51" spans="1:15">
      <c r="A51" s="255" t="s">
        <v>523</v>
      </c>
      <c r="B51" s="283">
        <f t="shared" si="36"/>
        <v>1119.0833333333333</v>
      </c>
      <c r="C51" s="283">
        <f t="shared" si="36"/>
        <v>865.63749999999993</v>
      </c>
      <c r="D51" s="283">
        <f t="shared" si="36"/>
        <v>861.25</v>
      </c>
      <c r="E51" s="283">
        <f t="shared" si="36"/>
        <v>602.33333333333337</v>
      </c>
      <c r="F51" s="283">
        <f t="shared" si="36"/>
        <v>990.16666666666663</v>
      </c>
      <c r="G51" s="283">
        <f t="shared" si="36"/>
        <v>733.98541666666654</v>
      </c>
      <c r="H51" s="659"/>
      <c r="I51" s="255" t="s">
        <v>523</v>
      </c>
      <c r="J51" s="283">
        <f t="shared" si="37"/>
        <v>878.58333333333337</v>
      </c>
      <c r="K51" s="283">
        <f t="shared" si="37"/>
        <v>752.91666666666663</v>
      </c>
      <c r="L51" s="283">
        <f t="shared" si="37"/>
        <v>752.91666666666663</v>
      </c>
      <c r="M51" s="283">
        <f t="shared" si="37"/>
        <v>627.25</v>
      </c>
      <c r="N51" s="283">
        <f t="shared" si="37"/>
        <v>815.75</v>
      </c>
      <c r="O51" s="283">
        <f t="shared" si="37"/>
        <v>690.08333333333337</v>
      </c>
    </row>
    <row r="52" spans="1:15">
      <c r="A52" s="255" t="s">
        <v>524</v>
      </c>
      <c r="B52" s="283">
        <f t="shared" si="36"/>
        <v>1003.1666666666666</v>
      </c>
      <c r="C52" s="283">
        <f t="shared" si="36"/>
        <v>903.5</v>
      </c>
      <c r="D52" s="283">
        <f t="shared" si="36"/>
        <v>897</v>
      </c>
      <c r="E52" s="283">
        <f t="shared" si="36"/>
        <v>621.83333333333337</v>
      </c>
      <c r="F52" s="283">
        <f t="shared" si="36"/>
        <v>950.08333333333314</v>
      </c>
      <c r="G52" s="283">
        <f t="shared" si="36"/>
        <v>762.66666666666663</v>
      </c>
      <c r="H52" s="659"/>
      <c r="I52" s="255" t="s">
        <v>524</v>
      </c>
      <c r="J52" s="283">
        <f t="shared" si="37"/>
        <v>828.75</v>
      </c>
      <c r="K52" s="283">
        <f t="shared" si="37"/>
        <v>752.91666666666663</v>
      </c>
      <c r="L52" s="283">
        <f t="shared" si="37"/>
        <v>752.91666666666663</v>
      </c>
      <c r="M52" s="283">
        <f t="shared" si="37"/>
        <v>627.25</v>
      </c>
      <c r="N52" s="283">
        <f t="shared" si="37"/>
        <v>790.83333333333337</v>
      </c>
      <c r="O52" s="283">
        <f t="shared" si="37"/>
        <v>690.08333333333337</v>
      </c>
    </row>
    <row r="62" spans="1:15" ht="14.1">
      <c r="A62" s="424" t="s">
        <v>526</v>
      </c>
    </row>
    <row r="63" spans="1:15" ht="14.1">
      <c r="A63" s="424" t="s">
        <v>527</v>
      </c>
    </row>
    <row r="64" spans="1:15" ht="14.1">
      <c r="A64" s="424" t="s">
        <v>528</v>
      </c>
    </row>
    <row r="65" spans="1:1" ht="14.1">
      <c r="A65" s="424" t="s">
        <v>529</v>
      </c>
    </row>
    <row r="69" spans="1:1">
      <c r="A69" s="432" t="s">
        <v>530</v>
      </c>
    </row>
    <row r="70" spans="1:1">
      <c r="A70" s="255" t="s">
        <v>531</v>
      </c>
    </row>
    <row r="71" spans="1:1">
      <c r="A71" s="255" t="s">
        <v>532</v>
      </c>
    </row>
    <row r="72" spans="1:1">
      <c r="A72" s="255" t="s">
        <v>533</v>
      </c>
    </row>
    <row r="73" spans="1:1">
      <c r="A73" s="255" t="s">
        <v>534</v>
      </c>
    </row>
  </sheetData>
  <mergeCells count="18">
    <mergeCell ref="J1:O1"/>
    <mergeCell ref="B1:G1"/>
    <mergeCell ref="J2:K2"/>
    <mergeCell ref="L2:M2"/>
    <mergeCell ref="J15:K15"/>
    <mergeCell ref="L15:M15"/>
    <mergeCell ref="B15:C15"/>
    <mergeCell ref="D15:E15"/>
    <mergeCell ref="B2:C2"/>
    <mergeCell ref="D2:E2"/>
    <mergeCell ref="D41:E41"/>
    <mergeCell ref="B28:C28"/>
    <mergeCell ref="D28:E28"/>
    <mergeCell ref="J41:K41"/>
    <mergeCell ref="L41:M41"/>
    <mergeCell ref="J28:K28"/>
    <mergeCell ref="L28:M28"/>
    <mergeCell ref="B41:C41"/>
  </mergeCells>
  <hyperlinks>
    <hyperlink ref="Q1" r:id="rId1" xr:uid="{925B366F-710F-194F-B765-3241AB260924}"/>
  </hyperlinks>
  <pageMargins left="0.7" right="0.7" top="0.75" bottom="0.75" header="0.3" footer="0.3"/>
  <pageSetup orientation="portrait" horizont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3F2FA-1504-3441-8F65-8B331F491BAF}">
  <sheetPr codeName="Sheet7">
    <tabColor theme="5" tint="0.39997558519241921"/>
  </sheetPr>
  <dimension ref="A1:I41"/>
  <sheetViews>
    <sheetView workbookViewId="0"/>
  </sheetViews>
  <sheetFormatPr defaultColWidth="10.85546875" defaultRowHeight="15"/>
  <cols>
    <col min="1" max="1" width="10.85546875" style="285"/>
    <col min="2" max="2" width="13.7109375" style="285" bestFit="1" customWidth="1"/>
    <col min="3" max="5" width="10.85546875" style="285"/>
    <col min="6" max="6" width="11.140625" style="285" bestFit="1" customWidth="1"/>
    <col min="7" max="16384" width="10.85546875" style="285"/>
  </cols>
  <sheetData>
    <row r="1" spans="1:9">
      <c r="A1" s="14" t="s">
        <v>535</v>
      </c>
    </row>
    <row r="2" spans="1:9" s="255" customFormat="1" ht="15.95" customHeight="1"/>
    <row r="3" spans="1:9" s="255" customFormat="1">
      <c r="A3" s="286" t="s">
        <v>256</v>
      </c>
      <c r="B3" s="287" t="s">
        <v>364</v>
      </c>
      <c r="C3" s="287" t="s">
        <v>16</v>
      </c>
      <c r="D3" s="287" t="s">
        <v>367</v>
      </c>
      <c r="F3" s="286" t="s">
        <v>256</v>
      </c>
      <c r="G3" s="287" t="s">
        <v>364</v>
      </c>
      <c r="H3" s="287" t="s">
        <v>16</v>
      </c>
      <c r="I3" s="287" t="s">
        <v>367</v>
      </c>
    </row>
    <row r="4" spans="1:9" s="255" customFormat="1" ht="12.95">
      <c r="A4" s="277" t="s">
        <v>521</v>
      </c>
      <c r="B4" s="288">
        <f>B25*5*52/12</f>
        <v>1083.3333333333333</v>
      </c>
      <c r="C4" s="288">
        <f>C25*5*52/12</f>
        <v>693.33333333333337</v>
      </c>
      <c r="D4" s="288">
        <f>AVERAGE(B4:C4)</f>
        <v>888.33333333333326</v>
      </c>
      <c r="F4" s="277" t="s">
        <v>521</v>
      </c>
      <c r="G4" s="288">
        <f>G25*5*52/12</f>
        <v>693.33333333333337</v>
      </c>
      <c r="H4" s="288">
        <f>H25*5*52/12</f>
        <v>599.30000000000007</v>
      </c>
      <c r="I4" s="288">
        <f>AVERAGE(G4:H4)</f>
        <v>646.31666666666672</v>
      </c>
    </row>
    <row r="5" spans="1:9" s="255" customFormat="1" ht="12.95">
      <c r="A5" s="277" t="s">
        <v>522</v>
      </c>
      <c r="B5" s="288">
        <f t="shared" ref="B5:C7" si="0">B26*5*52/12</f>
        <v>996.66666666666663</v>
      </c>
      <c r="C5" s="288">
        <f t="shared" si="0"/>
        <v>650</v>
      </c>
      <c r="D5" s="288">
        <f t="shared" ref="D5:D7" si="1">AVERAGE(B5:C5)</f>
        <v>823.33333333333326</v>
      </c>
      <c r="F5" s="277" t="s">
        <v>522</v>
      </c>
      <c r="G5" s="288">
        <f t="shared" ref="G5:H5" si="2">G26*5*52/12</f>
        <v>671.66666666666663</v>
      </c>
      <c r="H5" s="288">
        <f t="shared" si="2"/>
        <v>585</v>
      </c>
      <c r="I5" s="288">
        <f t="shared" ref="I5:I7" si="3">AVERAGE(G5:H5)</f>
        <v>628.33333333333326</v>
      </c>
    </row>
    <row r="6" spans="1:9" s="255" customFormat="1" ht="12.95">
      <c r="A6" s="277" t="s">
        <v>523</v>
      </c>
      <c r="B6" s="288">
        <f t="shared" si="0"/>
        <v>910</v>
      </c>
      <c r="C6" s="288">
        <f t="shared" si="0"/>
        <v>628.33333333333337</v>
      </c>
      <c r="D6" s="288">
        <f t="shared" si="1"/>
        <v>769.16666666666674</v>
      </c>
      <c r="F6" s="277" t="s">
        <v>523</v>
      </c>
      <c r="G6" s="288">
        <f t="shared" ref="G6:H6" si="4">G27*5*52/12</f>
        <v>671.66666666666663</v>
      </c>
      <c r="H6" s="288">
        <f t="shared" si="4"/>
        <v>585</v>
      </c>
      <c r="I6" s="288">
        <f t="shared" si="3"/>
        <v>628.33333333333326</v>
      </c>
    </row>
    <row r="7" spans="1:9" s="255" customFormat="1" ht="12.95">
      <c r="A7" s="277" t="s">
        <v>524</v>
      </c>
      <c r="B7" s="288">
        <f t="shared" si="0"/>
        <v>801.66666666666663</v>
      </c>
      <c r="C7" s="288">
        <f t="shared" si="0"/>
        <v>634.83333333333337</v>
      </c>
      <c r="D7" s="288">
        <f t="shared" si="1"/>
        <v>718.25</v>
      </c>
      <c r="F7" s="277" t="s">
        <v>524</v>
      </c>
      <c r="G7" s="288">
        <f t="shared" ref="G7:H7" si="5">G28*5*52/12</f>
        <v>650</v>
      </c>
      <c r="H7" s="288">
        <f t="shared" si="5"/>
        <v>565.2833333333333</v>
      </c>
      <c r="I7" s="288">
        <f t="shared" si="3"/>
        <v>607.64166666666665</v>
      </c>
    </row>
    <row r="8" spans="1:9" s="255" customFormat="1" ht="12.95">
      <c r="A8" s="277"/>
      <c r="F8" s="277"/>
    </row>
    <row r="9" spans="1:9" s="255" customFormat="1">
      <c r="A9" s="286" t="s">
        <v>536</v>
      </c>
      <c r="B9" s="287" t="str">
        <f>B3</f>
        <v>Urban</v>
      </c>
      <c r="C9" s="287" t="str">
        <f>C3</f>
        <v>Rural</v>
      </c>
      <c r="D9" s="287" t="str">
        <f>D3</f>
        <v>Statewide</v>
      </c>
      <c r="F9" s="286" t="s">
        <v>536</v>
      </c>
      <c r="G9" s="287" t="str">
        <f>G3</f>
        <v>Urban</v>
      </c>
      <c r="H9" s="287" t="str">
        <f>H3</f>
        <v>Rural</v>
      </c>
      <c r="I9" s="287" t="str">
        <f>I3</f>
        <v>Statewide</v>
      </c>
    </row>
    <row r="10" spans="1:9">
      <c r="A10" s="277" t="s">
        <v>521</v>
      </c>
      <c r="B10" s="288">
        <f>B31*5*52/12</f>
        <v>1262.0833333333333</v>
      </c>
      <c r="C10" s="288">
        <f>C31*5*52/12</f>
        <v>797.33333333333337</v>
      </c>
      <c r="D10" s="288">
        <f>AVERAGE(B10:C10)</f>
        <v>1029.7083333333333</v>
      </c>
      <c r="F10" s="277" t="s">
        <v>521</v>
      </c>
      <c r="G10" s="288">
        <f>G31*5*52/12</f>
        <v>769.16666666666663</v>
      </c>
      <c r="H10" s="288">
        <f>H31*5*52/12</f>
        <v>655.41666666666663</v>
      </c>
      <c r="I10" s="288">
        <f>AVERAGE(G10:H10)</f>
        <v>712.29166666666663</v>
      </c>
    </row>
    <row r="11" spans="1:9">
      <c r="A11" s="277" t="s">
        <v>522</v>
      </c>
      <c r="B11" s="288">
        <f t="shared" ref="B11:C13" si="6">B32*5*52/12</f>
        <v>1115.8333333333333</v>
      </c>
      <c r="C11" s="288">
        <f t="shared" si="6"/>
        <v>758.33333333333337</v>
      </c>
      <c r="D11" s="288">
        <f t="shared" ref="D11:D13" si="7">AVERAGE(B11:C11)</f>
        <v>937.08333333333326</v>
      </c>
      <c r="F11" s="277" t="s">
        <v>522</v>
      </c>
      <c r="G11" s="288">
        <f t="shared" ref="G11:H11" si="8">G32*5*52/12</f>
        <v>758.33333333333337</v>
      </c>
      <c r="H11" s="288">
        <f t="shared" si="8"/>
        <v>650</v>
      </c>
      <c r="I11" s="288">
        <f t="shared" ref="I11:I13" si="9">AVERAGE(G11:H11)</f>
        <v>704.16666666666674</v>
      </c>
    </row>
    <row r="12" spans="1:9">
      <c r="A12" s="277" t="s">
        <v>523</v>
      </c>
      <c r="B12" s="288">
        <f t="shared" si="6"/>
        <v>1007.7166666666666</v>
      </c>
      <c r="C12" s="288">
        <f t="shared" si="6"/>
        <v>743.16666666666663</v>
      </c>
      <c r="D12" s="288">
        <f t="shared" si="7"/>
        <v>875.44166666666661</v>
      </c>
      <c r="F12" s="277" t="s">
        <v>523</v>
      </c>
      <c r="G12" s="288">
        <f t="shared" ref="G12:H12" si="10">G33*5*52/12</f>
        <v>758.33333333333337</v>
      </c>
      <c r="H12" s="288">
        <f t="shared" si="10"/>
        <v>650</v>
      </c>
      <c r="I12" s="288">
        <f t="shared" si="9"/>
        <v>704.16666666666674</v>
      </c>
    </row>
    <row r="13" spans="1:9">
      <c r="A13" s="277" t="s">
        <v>524</v>
      </c>
      <c r="B13" s="288">
        <f t="shared" si="6"/>
        <v>866.66666666666663</v>
      </c>
      <c r="C13" s="288">
        <f t="shared" si="6"/>
        <v>774.58333333333337</v>
      </c>
      <c r="D13" s="288">
        <f t="shared" si="7"/>
        <v>820.625</v>
      </c>
      <c r="F13" s="277" t="s">
        <v>524</v>
      </c>
      <c r="G13" s="288">
        <f t="shared" ref="G13:H13" si="11">G34*5*52/12</f>
        <v>715</v>
      </c>
      <c r="H13" s="288">
        <f t="shared" si="11"/>
        <v>650</v>
      </c>
      <c r="I13" s="288">
        <f t="shared" si="9"/>
        <v>682.5</v>
      </c>
    </row>
    <row r="14" spans="1:9">
      <c r="A14" s="293"/>
      <c r="F14" s="293"/>
    </row>
    <row r="15" spans="1:9">
      <c r="A15" s="293"/>
      <c r="B15" s="293"/>
      <c r="C15" s="293"/>
      <c r="D15" s="293"/>
      <c r="F15" s="293"/>
      <c r="G15" s="293"/>
      <c r="H15" s="293"/>
      <c r="I15" s="293"/>
    </row>
    <row r="16" spans="1:9">
      <c r="A16" s="286" t="s">
        <v>258</v>
      </c>
      <c r="B16" s="287" t="str">
        <f>B9</f>
        <v>Urban</v>
      </c>
      <c r="C16" s="287" t="str">
        <f>C9</f>
        <v>Rural</v>
      </c>
      <c r="D16" s="287" t="s">
        <v>367</v>
      </c>
      <c r="E16" s="255"/>
      <c r="F16" s="286" t="s">
        <v>258</v>
      </c>
      <c r="G16" s="287" t="str">
        <f>G9</f>
        <v>Urban</v>
      </c>
      <c r="H16" s="287" t="str">
        <f>H9</f>
        <v>Rural</v>
      </c>
      <c r="I16" s="287" t="s">
        <v>367</v>
      </c>
    </row>
    <row r="17" spans="1:9">
      <c r="A17" s="277" t="s">
        <v>521</v>
      </c>
      <c r="B17" s="288">
        <f>B38*5*52/12</f>
        <v>1379.9499999999998</v>
      </c>
      <c r="C17" s="288">
        <f>C38*5*52/12</f>
        <v>859.73333333333346</v>
      </c>
      <c r="D17" s="288">
        <f>AVERAGE(B17:C17)</f>
        <v>1119.8416666666667</v>
      </c>
      <c r="E17" s="288"/>
      <c r="F17" s="277" t="s">
        <v>521</v>
      </c>
      <c r="G17" s="288">
        <f>G38*5*52/12</f>
        <v>823.33333333333337</v>
      </c>
      <c r="H17" s="288">
        <f>H38*5*52/12</f>
        <v>704.16666666666663</v>
      </c>
      <c r="I17" s="288">
        <f>AVERAGE(G17:H17)</f>
        <v>763.75</v>
      </c>
    </row>
    <row r="18" spans="1:9">
      <c r="A18" s="277" t="s">
        <v>522</v>
      </c>
      <c r="B18" s="288">
        <f t="shared" ref="B18:C20" si="12">B39*5*52/12</f>
        <v>1284.3999999999999</v>
      </c>
      <c r="C18" s="288">
        <f t="shared" si="12"/>
        <v>868.61666666666679</v>
      </c>
      <c r="D18" s="288">
        <f t="shared" ref="D18:D20" si="13">AVERAGE(B18:C18)</f>
        <v>1076.5083333333332</v>
      </c>
      <c r="E18" s="288"/>
      <c r="F18" s="277" t="s">
        <v>522</v>
      </c>
      <c r="G18" s="288">
        <f t="shared" ref="G18:H18" si="14">G39*5*52/12</f>
        <v>821.16666666666663</v>
      </c>
      <c r="H18" s="288">
        <f t="shared" si="14"/>
        <v>693.33333333333337</v>
      </c>
      <c r="I18" s="288">
        <f t="shared" ref="I18:I20" si="15">AVERAGE(G18:H18)</f>
        <v>757.25</v>
      </c>
    </row>
    <row r="19" spans="1:9">
      <c r="A19" s="277" t="s">
        <v>523</v>
      </c>
      <c r="B19" s="288">
        <f t="shared" si="12"/>
        <v>1170</v>
      </c>
      <c r="C19" s="288">
        <f t="shared" si="12"/>
        <v>867.75</v>
      </c>
      <c r="D19" s="288">
        <f t="shared" si="13"/>
        <v>1018.875</v>
      </c>
      <c r="E19" s="288"/>
      <c r="F19" s="277" t="s">
        <v>523</v>
      </c>
      <c r="G19" s="288">
        <f t="shared" ref="G19:H19" si="16">G40*5*52/12</f>
        <v>777.83333333333337</v>
      </c>
      <c r="H19" s="288">
        <f t="shared" si="16"/>
        <v>670.58333333333337</v>
      </c>
      <c r="I19" s="288">
        <f t="shared" si="15"/>
        <v>724.20833333333337</v>
      </c>
    </row>
    <row r="20" spans="1:9">
      <c r="A20" s="277" t="s">
        <v>524</v>
      </c>
      <c r="B20" s="288">
        <f t="shared" si="12"/>
        <v>979.33333333333337</v>
      </c>
      <c r="C20" s="288">
        <f t="shared" si="12"/>
        <v>905.01666666666677</v>
      </c>
      <c r="D20" s="288">
        <f t="shared" si="13"/>
        <v>942.17500000000007</v>
      </c>
      <c r="E20" s="288"/>
      <c r="F20" s="277" t="s">
        <v>524</v>
      </c>
      <c r="G20" s="288">
        <f t="shared" ref="G20:H20" si="17">G41*5*52/12</f>
        <v>790.83333333333337</v>
      </c>
      <c r="H20" s="288">
        <f t="shared" si="17"/>
        <v>650</v>
      </c>
      <c r="I20" s="288">
        <f t="shared" si="15"/>
        <v>720.41666666666674</v>
      </c>
    </row>
    <row r="24" spans="1:9">
      <c r="A24" s="286" t="s">
        <v>256</v>
      </c>
      <c r="B24" s="287" t="s">
        <v>364</v>
      </c>
      <c r="C24" s="287" t="s">
        <v>16</v>
      </c>
      <c r="D24" s="287" t="s">
        <v>367</v>
      </c>
      <c r="F24" s="286" t="s">
        <v>256</v>
      </c>
      <c r="G24" s="287" t="s">
        <v>364</v>
      </c>
      <c r="H24" s="287" t="s">
        <v>16</v>
      </c>
      <c r="I24" s="287" t="s">
        <v>367</v>
      </c>
    </row>
    <row r="25" spans="1:9">
      <c r="A25" s="277" t="s">
        <v>521</v>
      </c>
      <c r="B25" s="288">
        <f>50</f>
        <v>50</v>
      </c>
      <c r="C25" s="288">
        <v>32</v>
      </c>
      <c r="D25" s="288">
        <f>AVERAGE(B25:C25)</f>
        <v>41</v>
      </c>
      <c r="F25" s="277" t="s">
        <v>521</v>
      </c>
      <c r="G25" s="288">
        <v>32</v>
      </c>
      <c r="H25" s="288">
        <v>27.66</v>
      </c>
      <c r="I25" s="288">
        <f>AVERAGE(G25:H25)</f>
        <v>29.83</v>
      </c>
    </row>
    <row r="26" spans="1:9">
      <c r="A26" s="277" t="s">
        <v>522</v>
      </c>
      <c r="B26" s="290">
        <v>46</v>
      </c>
      <c r="C26" s="288">
        <v>30</v>
      </c>
      <c r="D26" s="288">
        <f t="shared" ref="D26:D28" si="18">AVERAGE(B26:C26)</f>
        <v>38</v>
      </c>
      <c r="F26" s="277" t="s">
        <v>522</v>
      </c>
      <c r="G26" s="290">
        <v>31</v>
      </c>
      <c r="H26" s="288">
        <v>27</v>
      </c>
      <c r="I26" s="288">
        <f t="shared" ref="I26:I28" si="19">AVERAGE(G26:H26)</f>
        <v>29</v>
      </c>
    </row>
    <row r="27" spans="1:9">
      <c r="A27" s="277" t="s">
        <v>523</v>
      </c>
      <c r="B27" s="291">
        <v>42</v>
      </c>
      <c r="C27" s="291">
        <v>29</v>
      </c>
      <c r="D27" s="288">
        <f t="shared" si="18"/>
        <v>35.5</v>
      </c>
      <c r="F27" s="277" t="s">
        <v>523</v>
      </c>
      <c r="G27" s="291">
        <v>31</v>
      </c>
      <c r="H27" s="291">
        <v>27</v>
      </c>
      <c r="I27" s="288">
        <f t="shared" si="19"/>
        <v>29</v>
      </c>
    </row>
    <row r="28" spans="1:9">
      <c r="A28" s="277" t="s">
        <v>524</v>
      </c>
      <c r="B28" s="291">
        <v>37</v>
      </c>
      <c r="C28" s="289">
        <v>29.3</v>
      </c>
      <c r="D28" s="288">
        <f t="shared" si="18"/>
        <v>33.15</v>
      </c>
      <c r="F28" s="277" t="s">
        <v>524</v>
      </c>
      <c r="G28" s="291">
        <v>30</v>
      </c>
      <c r="H28" s="289">
        <v>26.09</v>
      </c>
      <c r="I28" s="288">
        <f t="shared" si="19"/>
        <v>28.045000000000002</v>
      </c>
    </row>
    <row r="29" spans="1:9">
      <c r="A29" s="277"/>
      <c r="B29" s="255"/>
      <c r="C29" s="255"/>
      <c r="D29" s="255"/>
      <c r="F29" s="277"/>
      <c r="G29" s="255"/>
      <c r="H29" s="255"/>
      <c r="I29" s="255"/>
    </row>
    <row r="30" spans="1:9">
      <c r="A30" s="286" t="s">
        <v>536</v>
      </c>
      <c r="B30" s="287" t="str">
        <f>B24</f>
        <v>Urban</v>
      </c>
      <c r="C30" s="287" t="str">
        <f>C24</f>
        <v>Rural</v>
      </c>
      <c r="D30" s="287" t="str">
        <f>D24</f>
        <v>Statewide</v>
      </c>
      <c r="F30" s="286" t="s">
        <v>536</v>
      </c>
      <c r="G30" s="287" t="str">
        <f>G24</f>
        <v>Urban</v>
      </c>
      <c r="H30" s="287" t="str">
        <f>H24</f>
        <v>Rural</v>
      </c>
      <c r="I30" s="287" t="str">
        <f>I24</f>
        <v>Statewide</v>
      </c>
    </row>
    <row r="31" spans="1:9">
      <c r="A31" s="277" t="s">
        <v>521</v>
      </c>
      <c r="B31" s="291">
        <v>58.25</v>
      </c>
      <c r="C31" s="291">
        <v>36.799999999999997</v>
      </c>
      <c r="D31" s="288">
        <f>AVERAGE(B31:C31)</f>
        <v>47.524999999999999</v>
      </c>
      <c r="F31" s="277" t="s">
        <v>521</v>
      </c>
      <c r="G31" s="291">
        <v>35.5</v>
      </c>
      <c r="H31" s="291">
        <v>30.25</v>
      </c>
      <c r="I31" s="288">
        <f>AVERAGE(G31:H31)</f>
        <v>32.875</v>
      </c>
    </row>
    <row r="32" spans="1:9">
      <c r="A32" s="277" t="s">
        <v>522</v>
      </c>
      <c r="B32" s="294">
        <v>51.5</v>
      </c>
      <c r="C32" s="291">
        <v>35</v>
      </c>
      <c r="D32" s="288">
        <f t="shared" ref="D32:D34" si="20">AVERAGE(B32:C32)</f>
        <v>43.25</v>
      </c>
      <c r="F32" s="277" t="s">
        <v>522</v>
      </c>
      <c r="G32" s="294">
        <v>35</v>
      </c>
      <c r="H32" s="291">
        <v>30</v>
      </c>
      <c r="I32" s="288">
        <f t="shared" ref="I32:I34" si="21">AVERAGE(G32:H32)</f>
        <v>32.5</v>
      </c>
    </row>
    <row r="33" spans="1:9">
      <c r="A33" s="277" t="s">
        <v>523</v>
      </c>
      <c r="B33" s="291">
        <v>46.51</v>
      </c>
      <c r="C33" s="291">
        <v>34.299999999999997</v>
      </c>
      <c r="D33" s="288">
        <f t="shared" si="20"/>
        <v>40.405000000000001</v>
      </c>
      <c r="F33" s="277" t="s">
        <v>523</v>
      </c>
      <c r="G33" s="291">
        <v>35</v>
      </c>
      <c r="H33" s="291">
        <v>30</v>
      </c>
      <c r="I33" s="288">
        <f t="shared" si="21"/>
        <v>32.5</v>
      </c>
    </row>
    <row r="34" spans="1:9">
      <c r="A34" s="277" t="s">
        <v>524</v>
      </c>
      <c r="B34" s="291">
        <v>40</v>
      </c>
      <c r="C34" s="291">
        <v>35.75</v>
      </c>
      <c r="D34" s="288">
        <f t="shared" si="20"/>
        <v>37.875</v>
      </c>
      <c r="F34" s="277" t="s">
        <v>524</v>
      </c>
      <c r="G34" s="291">
        <v>33</v>
      </c>
      <c r="H34" s="291">
        <v>30</v>
      </c>
      <c r="I34" s="288">
        <f t="shared" si="21"/>
        <v>31.5</v>
      </c>
    </row>
    <row r="35" spans="1:9">
      <c r="A35" s="293"/>
      <c r="F35" s="293"/>
    </row>
    <row r="36" spans="1:9">
      <c r="A36" s="293"/>
      <c r="B36" s="293"/>
      <c r="C36" s="293"/>
      <c r="D36" s="293"/>
      <c r="F36" s="293"/>
      <c r="G36" s="293"/>
      <c r="H36" s="293"/>
      <c r="I36" s="293"/>
    </row>
    <row r="37" spans="1:9">
      <c r="A37" s="286" t="s">
        <v>258</v>
      </c>
      <c r="B37" s="287" t="str">
        <f>B30</f>
        <v>Urban</v>
      </c>
      <c r="C37" s="287" t="str">
        <f>C30</f>
        <v>Rural</v>
      </c>
      <c r="D37" s="287" t="s">
        <v>367</v>
      </c>
      <c r="F37" s="286" t="s">
        <v>258</v>
      </c>
      <c r="G37" s="287" t="str">
        <f>G30</f>
        <v>Urban</v>
      </c>
      <c r="H37" s="287" t="str">
        <f>H30</f>
        <v>Rural</v>
      </c>
      <c r="I37" s="287" t="s">
        <v>367</v>
      </c>
    </row>
    <row r="38" spans="1:9">
      <c r="A38" s="277" t="s">
        <v>521</v>
      </c>
      <c r="B38" s="288">
        <v>63.69</v>
      </c>
      <c r="C38" s="288">
        <v>39.68</v>
      </c>
      <c r="D38" s="288">
        <f>AVERAGE(B38:C38)</f>
        <v>51.685000000000002</v>
      </c>
      <c r="F38" s="277" t="s">
        <v>521</v>
      </c>
      <c r="G38" s="288">
        <v>38</v>
      </c>
      <c r="H38" s="288">
        <v>32.5</v>
      </c>
      <c r="I38" s="288">
        <f>AVERAGE(G38:H38)</f>
        <v>35.25</v>
      </c>
    </row>
    <row r="39" spans="1:9">
      <c r="A39" s="277" t="s">
        <v>522</v>
      </c>
      <c r="B39" s="290">
        <v>59.28</v>
      </c>
      <c r="C39" s="288">
        <v>40.090000000000003</v>
      </c>
      <c r="D39" s="288">
        <f t="shared" ref="D39:D41" si="22">AVERAGE(B39:C39)</f>
        <v>49.685000000000002</v>
      </c>
      <c r="F39" s="277" t="s">
        <v>522</v>
      </c>
      <c r="G39" s="290">
        <v>37.9</v>
      </c>
      <c r="H39" s="288">
        <v>32</v>
      </c>
      <c r="I39" s="288">
        <f t="shared" ref="I39:I41" si="23">AVERAGE(G39:H39)</f>
        <v>34.950000000000003</v>
      </c>
    </row>
    <row r="40" spans="1:9">
      <c r="A40" s="277" t="s">
        <v>523</v>
      </c>
      <c r="B40" s="291">
        <v>54</v>
      </c>
      <c r="C40" s="291">
        <v>40.049999999999997</v>
      </c>
      <c r="D40" s="288">
        <f t="shared" si="22"/>
        <v>47.024999999999999</v>
      </c>
      <c r="F40" s="277" t="s">
        <v>523</v>
      </c>
      <c r="G40" s="291">
        <v>35.9</v>
      </c>
      <c r="H40" s="291">
        <v>30.95</v>
      </c>
      <c r="I40" s="288">
        <f t="shared" si="23"/>
        <v>33.424999999999997</v>
      </c>
    </row>
    <row r="41" spans="1:9">
      <c r="A41" s="277" t="s">
        <v>524</v>
      </c>
      <c r="B41" s="291">
        <v>45.2</v>
      </c>
      <c r="C41" s="292">
        <v>41.77</v>
      </c>
      <c r="D41" s="288">
        <f t="shared" si="22"/>
        <v>43.484999999999999</v>
      </c>
      <c r="F41" s="277" t="s">
        <v>524</v>
      </c>
      <c r="G41" s="291">
        <v>36.5</v>
      </c>
      <c r="H41" s="292">
        <v>30</v>
      </c>
      <c r="I41" s="288">
        <f t="shared" si="23"/>
        <v>33.25</v>
      </c>
    </row>
  </sheetData>
  <hyperlinks>
    <hyperlink ref="A1" r:id="rId1" xr:uid="{FBD33238-E313-2847-A18B-BE7BBDD5A89E}"/>
  </hyperlink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FAA53-3C69-7046-BB17-6142112CBC34}">
  <sheetPr codeName="Sheet9">
    <tabColor theme="5" tint="0.39997558519241921"/>
  </sheetPr>
  <dimension ref="A1:T16"/>
  <sheetViews>
    <sheetView workbookViewId="0"/>
  </sheetViews>
  <sheetFormatPr defaultColWidth="8.85546875" defaultRowHeight="12.95"/>
  <cols>
    <col min="1" max="1" width="13.85546875" style="255" customWidth="1"/>
    <col min="2" max="2" width="8.85546875" style="255"/>
    <col min="3" max="3" width="8.85546875" style="255" customWidth="1"/>
    <col min="4" max="12" width="8.85546875" style="255"/>
    <col min="13" max="13" width="11.42578125" style="255" customWidth="1"/>
    <col min="14" max="16384" width="8.85546875" style="255"/>
  </cols>
  <sheetData>
    <row r="1" spans="1:20">
      <c r="A1" s="255" t="s">
        <v>537</v>
      </c>
      <c r="F1" s="14" t="s">
        <v>538</v>
      </c>
      <c r="L1" s="256" t="s">
        <v>539</v>
      </c>
    </row>
    <row r="2" spans="1:20">
      <c r="A2" s="255" t="s">
        <v>540</v>
      </c>
    </row>
    <row r="3" spans="1:20" ht="25.7" customHeight="1">
      <c r="A3" s="255" t="s">
        <v>541</v>
      </c>
    </row>
    <row r="4" spans="1:20">
      <c r="A4" s="255" t="s">
        <v>542</v>
      </c>
      <c r="H4" s="257"/>
      <c r="I4" s="258" t="s">
        <v>543</v>
      </c>
      <c r="Q4" s="14" t="s">
        <v>544</v>
      </c>
    </row>
    <row r="5" spans="1:20" ht="27.95">
      <c r="A5" s="259" t="s">
        <v>545</v>
      </c>
      <c r="D5" s="260" t="s">
        <v>546</v>
      </c>
      <c r="E5" s="261" t="s">
        <v>547</v>
      </c>
      <c r="F5" s="260" t="s">
        <v>548</v>
      </c>
      <c r="H5" s="259" t="s">
        <v>549</v>
      </c>
      <c r="J5" s="255" t="s">
        <v>550</v>
      </c>
      <c r="R5" s="260"/>
      <c r="S5" s="261"/>
      <c r="T5" s="260"/>
    </row>
    <row r="6" spans="1:20">
      <c r="A6" s="255" t="s">
        <v>551</v>
      </c>
      <c r="B6" s="255" t="s">
        <v>552</v>
      </c>
      <c r="D6" s="262">
        <v>0.38</v>
      </c>
      <c r="E6" s="262">
        <v>0.4</v>
      </c>
      <c r="F6" s="262">
        <v>0.1</v>
      </c>
      <c r="H6" s="262">
        <f>SUM(D6,E6,2*F6)</f>
        <v>0.98</v>
      </c>
      <c r="J6" s="263">
        <f>5*H6</f>
        <v>4.9000000000000004</v>
      </c>
      <c r="L6" s="262"/>
    </row>
    <row r="7" spans="1:20">
      <c r="A7" s="255" t="s">
        <v>553</v>
      </c>
      <c r="B7" s="255" t="s">
        <v>554</v>
      </c>
      <c r="D7" s="262">
        <v>1.98</v>
      </c>
      <c r="E7" s="262">
        <v>3.85</v>
      </c>
      <c r="F7" s="262">
        <v>0.57999999999999996</v>
      </c>
      <c r="H7" s="262">
        <f>SUM(D7,E7,2*F7)</f>
        <v>6.99</v>
      </c>
      <c r="J7" s="263">
        <f>5*H7</f>
        <v>34.950000000000003</v>
      </c>
      <c r="K7" s="262">
        <f>AVERAGE(J7:J8)</f>
        <v>39.65</v>
      </c>
      <c r="L7" s="262"/>
    </row>
    <row r="8" spans="1:20">
      <c r="A8" s="255" t="s">
        <v>555</v>
      </c>
      <c r="B8" s="255" t="s">
        <v>556</v>
      </c>
      <c r="D8" s="262">
        <v>2.2799999999999998</v>
      </c>
      <c r="E8" s="262">
        <v>4.25</v>
      </c>
      <c r="F8" s="262">
        <v>1.17</v>
      </c>
      <c r="H8" s="262">
        <f>SUM(D8,E8,2*F8)</f>
        <v>8.8699999999999992</v>
      </c>
      <c r="J8" s="263">
        <f>5*H8</f>
        <v>44.349999999999994</v>
      </c>
      <c r="K8" s="262">
        <f>J8</f>
        <v>44.349999999999994</v>
      </c>
      <c r="L8" s="262"/>
      <c r="M8" s="262"/>
    </row>
    <row r="9" spans="1:20">
      <c r="D9" s="262"/>
      <c r="E9" s="262"/>
      <c r="F9" s="262"/>
      <c r="J9" s="262"/>
    </row>
    <row r="12" spans="1:20">
      <c r="A12" s="255" t="s">
        <v>557</v>
      </c>
      <c r="B12" s="255" t="s">
        <v>558</v>
      </c>
      <c r="D12" s="255">
        <v>1.65</v>
      </c>
      <c r="E12" s="255">
        <v>3.12</v>
      </c>
      <c r="F12" s="255">
        <v>0.93</v>
      </c>
      <c r="H12" s="262">
        <f>SUM(D12,E12,2*F12)</f>
        <v>6.63</v>
      </c>
      <c r="J12" s="263">
        <f>5*H12</f>
        <v>33.15</v>
      </c>
    </row>
    <row r="13" spans="1:20">
      <c r="B13" s="255" t="s">
        <v>559</v>
      </c>
      <c r="D13" s="255">
        <v>0.59</v>
      </c>
      <c r="E13" s="255">
        <v>1.88</v>
      </c>
      <c r="F13" s="255">
        <v>0.25</v>
      </c>
      <c r="H13" s="262">
        <f>SUM(D13,E13,2*F13)</f>
        <v>2.9699999999999998</v>
      </c>
      <c r="J13" s="263">
        <f>5*H13</f>
        <v>14.849999999999998</v>
      </c>
    </row>
    <row r="16" spans="1:20">
      <c r="H16" s="258" t="s">
        <v>560</v>
      </c>
    </row>
  </sheetData>
  <hyperlinks>
    <hyperlink ref="Q4" r:id="rId1" xr:uid="{AA5CAE1E-8AEC-764C-9A52-1C32602663F6}"/>
    <hyperlink ref="F1" r:id="rId2" xr:uid="{B42ED514-49B4-9846-8B1B-92EC936E0C54}"/>
  </hyperlinks>
  <pageMargins left="0.75" right="0.75" top="1" bottom="1" header="0.5" footer="0.5"/>
  <pageSetup orientation="portrait" horizontalDpi="4294967293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8F70-7EE4-4445-9275-6096A24364C6}">
  <sheetPr>
    <tabColor theme="5" tint="0.39997558519241921"/>
  </sheetPr>
  <dimension ref="A1:L45"/>
  <sheetViews>
    <sheetView workbookViewId="0"/>
  </sheetViews>
  <sheetFormatPr defaultColWidth="11.42578125" defaultRowHeight="12.95"/>
  <sheetData>
    <row r="1" spans="1:7">
      <c r="A1" s="277"/>
      <c r="B1" s="19" t="s">
        <v>561</v>
      </c>
      <c r="C1" s="19" t="s">
        <v>562</v>
      </c>
    </row>
    <row r="2" spans="1:7">
      <c r="A2" s="255" t="s">
        <v>563</v>
      </c>
      <c r="B2">
        <v>1</v>
      </c>
      <c r="C2" s="19" t="s">
        <v>564</v>
      </c>
      <c r="F2" s="19" t="s">
        <v>565</v>
      </c>
      <c r="G2" s="255"/>
    </row>
    <row r="3" spans="1:7">
      <c r="A3" s="255" t="s">
        <v>566</v>
      </c>
      <c r="B3">
        <v>1</v>
      </c>
      <c r="C3" s="19" t="s">
        <v>567</v>
      </c>
      <c r="F3" s="19" t="s">
        <v>568</v>
      </c>
      <c r="G3" s="255" t="s">
        <v>569</v>
      </c>
    </row>
    <row r="4" spans="1:7">
      <c r="A4" s="255" t="s">
        <v>570</v>
      </c>
      <c r="B4">
        <v>1</v>
      </c>
      <c r="C4" s="19" t="s">
        <v>564</v>
      </c>
      <c r="F4" s="19" t="s">
        <v>571</v>
      </c>
      <c r="G4" s="255" t="s">
        <v>567</v>
      </c>
    </row>
    <row r="5" spans="1:7">
      <c r="A5" s="255" t="s">
        <v>531</v>
      </c>
      <c r="B5">
        <v>1</v>
      </c>
      <c r="C5" s="19" t="s">
        <v>564</v>
      </c>
      <c r="F5" s="19" t="s">
        <v>572</v>
      </c>
      <c r="G5" s="255" t="s">
        <v>573</v>
      </c>
    </row>
    <row r="6" spans="1:7">
      <c r="A6" s="255" t="s">
        <v>574</v>
      </c>
      <c r="B6">
        <v>1</v>
      </c>
      <c r="C6" s="19" t="s">
        <v>564</v>
      </c>
      <c r="F6" s="19" t="s">
        <v>575</v>
      </c>
      <c r="G6" s="255" t="s">
        <v>462</v>
      </c>
    </row>
    <row r="7" spans="1:7">
      <c r="A7" s="255" t="s">
        <v>576</v>
      </c>
      <c r="B7">
        <v>1</v>
      </c>
      <c r="C7" s="19" t="s">
        <v>567</v>
      </c>
      <c r="F7" s="19" t="s">
        <v>577</v>
      </c>
      <c r="G7" s="255" t="s">
        <v>454</v>
      </c>
    </row>
    <row r="8" spans="1:7">
      <c r="A8" s="255" t="s">
        <v>578</v>
      </c>
      <c r="B8">
        <v>1</v>
      </c>
      <c r="C8" s="19" t="s">
        <v>564</v>
      </c>
      <c r="F8" s="19" t="s">
        <v>579</v>
      </c>
      <c r="G8" s="255" t="s">
        <v>580</v>
      </c>
    </row>
    <row r="9" spans="1:7">
      <c r="A9" s="255" t="s">
        <v>581</v>
      </c>
      <c r="B9">
        <v>1</v>
      </c>
      <c r="C9" s="19" t="s">
        <v>567</v>
      </c>
      <c r="F9" s="19" t="s">
        <v>582</v>
      </c>
      <c r="G9" s="255" t="s">
        <v>567</v>
      </c>
    </row>
    <row r="10" spans="1:7">
      <c r="A10" s="255" t="s">
        <v>583</v>
      </c>
      <c r="B10">
        <v>1</v>
      </c>
      <c r="C10" s="19" t="s">
        <v>564</v>
      </c>
      <c r="G10" s="255"/>
    </row>
    <row r="11" spans="1:7">
      <c r="A11" s="255" t="s">
        <v>584</v>
      </c>
      <c r="B11">
        <v>1</v>
      </c>
      <c r="C11" s="19" t="s">
        <v>567</v>
      </c>
      <c r="G11" s="255"/>
    </row>
    <row r="12" spans="1:7">
      <c r="A12" s="255" t="s">
        <v>585</v>
      </c>
      <c r="B12">
        <v>1</v>
      </c>
      <c r="C12" s="19" t="s">
        <v>567</v>
      </c>
      <c r="G12" s="255"/>
    </row>
    <row r="13" spans="1:7">
      <c r="A13" s="334" t="s">
        <v>586</v>
      </c>
      <c r="B13" s="335">
        <v>1</v>
      </c>
      <c r="C13" s="314" t="s">
        <v>567</v>
      </c>
      <c r="G13" s="255"/>
    </row>
    <row r="14" spans="1:7">
      <c r="A14" s="255" t="s">
        <v>587</v>
      </c>
      <c r="B14">
        <v>2</v>
      </c>
      <c r="C14" s="19" t="s">
        <v>567</v>
      </c>
      <c r="F14" s="255"/>
      <c r="G14" s="255"/>
    </row>
    <row r="15" spans="1:7">
      <c r="A15" s="255" t="s">
        <v>588</v>
      </c>
      <c r="B15">
        <v>2</v>
      </c>
      <c r="C15" s="19" t="s">
        <v>567</v>
      </c>
      <c r="F15" s="255"/>
      <c r="G15" s="255"/>
    </row>
    <row r="16" spans="1:7">
      <c r="A16" s="255" t="s">
        <v>589</v>
      </c>
      <c r="B16">
        <v>2</v>
      </c>
      <c r="C16" s="19" t="s">
        <v>567</v>
      </c>
      <c r="F16" s="255"/>
      <c r="G16" s="255"/>
    </row>
    <row r="17" spans="1:12" ht="14.1" thickBot="1">
      <c r="A17" s="255" t="s">
        <v>590</v>
      </c>
      <c r="B17">
        <v>2</v>
      </c>
      <c r="C17" s="19" t="s">
        <v>564</v>
      </c>
      <c r="G17" s="331"/>
      <c r="H17" s="255"/>
      <c r="I17" s="255"/>
      <c r="J17" s="255"/>
      <c r="K17" s="255"/>
      <c r="L17" s="255"/>
    </row>
    <row r="18" spans="1:12" ht="14.1" thickBot="1">
      <c r="A18" s="255" t="s">
        <v>591</v>
      </c>
      <c r="B18">
        <v>2</v>
      </c>
      <c r="C18" s="19" t="s">
        <v>567</v>
      </c>
      <c r="G18" s="332"/>
      <c r="H18" s="333"/>
      <c r="I18" s="333"/>
      <c r="J18" s="333"/>
      <c r="K18" s="333"/>
      <c r="L18" s="333"/>
    </row>
    <row r="19" spans="1:12">
      <c r="A19" s="334" t="s">
        <v>592</v>
      </c>
      <c r="B19" s="335">
        <v>2</v>
      </c>
      <c r="C19" s="314" t="s">
        <v>564</v>
      </c>
      <c r="G19" s="255"/>
      <c r="H19" s="255"/>
      <c r="I19" s="255"/>
      <c r="J19" s="255"/>
      <c r="K19" s="255"/>
      <c r="L19" s="255"/>
    </row>
    <row r="20" spans="1:12">
      <c r="A20" s="255" t="s">
        <v>593</v>
      </c>
      <c r="B20">
        <v>3</v>
      </c>
      <c r="C20" s="19" t="s">
        <v>573</v>
      </c>
      <c r="G20" s="255"/>
      <c r="H20" s="255"/>
      <c r="I20" s="255"/>
      <c r="J20" s="255"/>
      <c r="K20" s="255"/>
      <c r="L20" s="255"/>
    </row>
    <row r="21" spans="1:12">
      <c r="A21" s="255" t="s">
        <v>594</v>
      </c>
      <c r="B21">
        <v>3</v>
      </c>
      <c r="C21" s="19" t="s">
        <v>573</v>
      </c>
      <c r="G21" s="255"/>
      <c r="H21" s="255"/>
      <c r="I21" s="255"/>
      <c r="J21" s="255"/>
      <c r="K21" s="255"/>
      <c r="L21" s="255"/>
    </row>
    <row r="22" spans="1:12">
      <c r="A22" s="255" t="s">
        <v>595</v>
      </c>
      <c r="B22">
        <v>3</v>
      </c>
      <c r="C22" s="19" t="s">
        <v>573</v>
      </c>
      <c r="G22" s="255"/>
      <c r="H22" s="255"/>
      <c r="I22" s="255"/>
      <c r="J22" s="255"/>
      <c r="K22" s="255"/>
      <c r="L22" s="255"/>
    </row>
    <row r="23" spans="1:12">
      <c r="A23" s="255" t="s">
        <v>596</v>
      </c>
      <c r="B23">
        <v>3</v>
      </c>
      <c r="C23" s="19" t="s">
        <v>573</v>
      </c>
      <c r="G23" s="255"/>
      <c r="H23" s="255"/>
      <c r="I23" s="255"/>
      <c r="J23" s="255"/>
      <c r="K23" s="255"/>
      <c r="L23" s="255"/>
    </row>
    <row r="24" spans="1:12">
      <c r="A24" s="255" t="s">
        <v>597</v>
      </c>
      <c r="B24">
        <v>3</v>
      </c>
      <c r="C24" s="19" t="s">
        <v>573</v>
      </c>
      <c r="G24" s="255"/>
      <c r="H24" s="255"/>
      <c r="I24" s="255"/>
      <c r="J24" s="255"/>
      <c r="K24" s="255"/>
      <c r="L24" s="255"/>
    </row>
    <row r="25" spans="1:12">
      <c r="A25" s="334" t="s">
        <v>598</v>
      </c>
      <c r="B25" s="335">
        <v>4</v>
      </c>
      <c r="C25" s="314" t="s">
        <v>462</v>
      </c>
      <c r="G25" s="255"/>
      <c r="H25" s="255"/>
      <c r="I25" s="255"/>
      <c r="J25" s="255"/>
      <c r="K25" s="255"/>
      <c r="L25" s="255"/>
    </row>
    <row r="26" spans="1:12">
      <c r="A26" s="255" t="s">
        <v>599</v>
      </c>
      <c r="B26">
        <v>5</v>
      </c>
      <c r="C26" s="19" t="s">
        <v>454</v>
      </c>
      <c r="G26" s="255"/>
      <c r="H26" s="255"/>
      <c r="I26" s="255"/>
      <c r="J26" s="255"/>
      <c r="K26" s="255"/>
      <c r="L26" s="255"/>
    </row>
    <row r="27" spans="1:12">
      <c r="A27" s="334" t="s">
        <v>600</v>
      </c>
      <c r="B27" s="335">
        <v>5</v>
      </c>
      <c r="C27" s="314" t="s">
        <v>462</v>
      </c>
      <c r="G27" s="255"/>
      <c r="H27" s="255"/>
      <c r="I27" s="255"/>
      <c r="J27" s="255"/>
      <c r="K27" s="255"/>
      <c r="L27" s="255"/>
    </row>
    <row r="28" spans="1:12">
      <c r="A28" s="255" t="s">
        <v>601</v>
      </c>
      <c r="B28">
        <v>6</v>
      </c>
      <c r="C28" s="19" t="s">
        <v>454</v>
      </c>
      <c r="G28" s="255"/>
      <c r="H28" s="255"/>
      <c r="I28" s="255"/>
      <c r="J28" s="255"/>
      <c r="K28" s="255"/>
      <c r="L28" s="255"/>
    </row>
    <row r="29" spans="1:12">
      <c r="A29" s="255" t="s">
        <v>602</v>
      </c>
      <c r="B29">
        <v>6</v>
      </c>
      <c r="C29" s="19" t="s">
        <v>603</v>
      </c>
      <c r="G29" s="255"/>
      <c r="H29" s="255"/>
      <c r="I29" s="255"/>
      <c r="J29" s="255"/>
      <c r="K29" s="255"/>
      <c r="L29" s="255"/>
    </row>
    <row r="30" spans="1:12">
      <c r="A30" s="255" t="s">
        <v>604</v>
      </c>
      <c r="B30">
        <v>6</v>
      </c>
      <c r="C30" s="19" t="s">
        <v>603</v>
      </c>
      <c r="E30" s="255"/>
      <c r="F30" s="255"/>
      <c r="G30" s="255"/>
    </row>
    <row r="31" spans="1:12">
      <c r="A31" s="255" t="s">
        <v>605</v>
      </c>
      <c r="B31">
        <v>6</v>
      </c>
      <c r="C31" s="19" t="s">
        <v>454</v>
      </c>
    </row>
    <row r="32" spans="1:12">
      <c r="A32" s="255" t="s">
        <v>606</v>
      </c>
      <c r="B32">
        <v>6</v>
      </c>
      <c r="C32" s="19" t="s">
        <v>454</v>
      </c>
    </row>
    <row r="33" spans="1:3">
      <c r="A33" s="255" t="s">
        <v>607</v>
      </c>
      <c r="B33">
        <v>6</v>
      </c>
      <c r="C33" s="19" t="s">
        <v>603</v>
      </c>
    </row>
    <row r="34" spans="1:3">
      <c r="A34" s="255" t="s">
        <v>608</v>
      </c>
      <c r="B34">
        <v>6</v>
      </c>
      <c r="C34" s="19" t="s">
        <v>454</v>
      </c>
    </row>
    <row r="35" spans="1:3">
      <c r="A35" s="255" t="s">
        <v>609</v>
      </c>
      <c r="B35">
        <v>6</v>
      </c>
      <c r="C35" s="19" t="s">
        <v>603</v>
      </c>
    </row>
    <row r="36" spans="1:3">
      <c r="A36" s="255" t="s">
        <v>610</v>
      </c>
      <c r="B36">
        <v>6</v>
      </c>
      <c r="C36" s="19" t="s">
        <v>603</v>
      </c>
    </row>
    <row r="37" spans="1:3">
      <c r="A37" s="255" t="s">
        <v>611</v>
      </c>
      <c r="B37">
        <v>6</v>
      </c>
      <c r="C37" s="19" t="s">
        <v>603</v>
      </c>
    </row>
    <row r="38" spans="1:3">
      <c r="A38" s="255" t="s">
        <v>612</v>
      </c>
      <c r="B38">
        <v>6</v>
      </c>
      <c r="C38" s="19" t="s">
        <v>454</v>
      </c>
    </row>
    <row r="39" spans="1:3">
      <c r="A39" s="334" t="s">
        <v>613</v>
      </c>
      <c r="B39" s="335">
        <v>6</v>
      </c>
      <c r="C39" s="314" t="s">
        <v>603</v>
      </c>
    </row>
    <row r="40" spans="1:3">
      <c r="A40" s="255" t="s">
        <v>614</v>
      </c>
      <c r="B40" s="19" t="s">
        <v>614</v>
      </c>
      <c r="C40" s="19" t="s">
        <v>567</v>
      </c>
    </row>
    <row r="41" spans="1:3">
      <c r="A41" s="277"/>
    </row>
    <row r="42" spans="1:3">
      <c r="A42" s="277"/>
    </row>
    <row r="43" spans="1:3">
      <c r="A43" s="277"/>
    </row>
    <row r="44" spans="1:3">
      <c r="A44" s="277"/>
    </row>
    <row r="45" spans="1:3">
      <c r="A45" s="277"/>
    </row>
  </sheetData>
  <autoFilter ref="B1:C1" xr:uid="{EE5E8F70-7EE4-4445-9275-6096A24364C6}"/>
  <sortState xmlns:xlrd2="http://schemas.microsoft.com/office/spreadsheetml/2017/richdata2" ref="A2:C40">
    <sortCondition ref="B2:B4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387CAE75C99745A93D27D94EAD618F" ma:contentTypeVersion="15" ma:contentTypeDescription="Create a new document." ma:contentTypeScope="" ma:versionID="9fdebdef02d194c89208ae41314a5151">
  <xsd:schema xmlns:xsd="http://www.w3.org/2001/XMLSchema" xmlns:xs="http://www.w3.org/2001/XMLSchema" xmlns:p="http://schemas.microsoft.com/office/2006/metadata/properties" xmlns:ns2="264ac7f2-db6b-4a95-84e0-87a8fdd0b180" xmlns:ns3="e91b5e26-186a-4b2b-8b69-a0e594c269d1" targetNamespace="http://schemas.microsoft.com/office/2006/metadata/properties" ma:root="true" ma:fieldsID="60e3c972dd746236c3045a443b63100c" ns2:_="" ns3:_="">
    <xsd:import namespace="264ac7f2-db6b-4a95-84e0-87a8fdd0b180"/>
    <xsd:import namespace="e91b5e26-186a-4b2b-8b69-a0e594c269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ac7f2-db6b-4a95-84e0-87a8fdd0b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5b645fb-244c-4c17-bdad-c0186f14a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b5e26-186a-4b2b-8b69-a0e594c269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74ec0f-0be2-4af2-9f20-e57af22a4334}" ma:internalName="TaxCatchAll" ma:showField="CatchAllData" ma:web="e91b5e26-186a-4b2b-8b69-a0e594c269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91b5e26-186a-4b2b-8b69-a0e594c269d1">
      <UserInfo>
        <DisplayName>Jeanna Capito [P5FS]</DisplayName>
        <AccountId>7</AccountId>
        <AccountType/>
      </UserInfo>
    </SharedWithUsers>
    <TaxCatchAll xmlns="e91b5e26-186a-4b2b-8b69-a0e594c269d1" xsi:nil="true"/>
    <lcf76f155ced4ddcb4097134ff3c332f xmlns="264ac7f2-db6b-4a95-84e0-87a8fdd0b1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251C47-7AA0-45E7-A83B-0864845477AE}"/>
</file>

<file path=customXml/itemProps2.xml><?xml version="1.0" encoding="utf-8"?>
<ds:datastoreItem xmlns:ds="http://schemas.openxmlformats.org/officeDocument/2006/customXml" ds:itemID="{539FD1D2-59B2-4401-87EB-28F83FB6935E}"/>
</file>

<file path=customXml/itemProps3.xml><?xml version="1.0" encoding="utf-8"?>
<ds:datastoreItem xmlns:ds="http://schemas.openxmlformats.org/officeDocument/2006/customXml" ds:itemID="{ACFB0E2D-B819-4914-A0C1-9E2A4FE4A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Early Childhood Policy Research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Mitchell</dc:creator>
  <cp:keywords/>
  <dc:description/>
  <cp:lastModifiedBy/>
  <cp:revision/>
  <dcterms:created xsi:type="dcterms:W3CDTF">2008-09-19T15:38:02Z</dcterms:created>
  <dcterms:modified xsi:type="dcterms:W3CDTF">2024-03-18T13:43:42Z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aredWithUsers">
    <vt:lpwstr>7;#Jeanna Capito [P5FS]</vt:lpwstr>
  </property>
  <property fmtid="{D5CDD505-2E9C-101B-9397-08002B2CF9AE}" pid="3" name="ContentTypeId">
    <vt:lpwstr>0x010100E0E0CA48B592B540AE872CD132CDA518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  <property fmtid="{D5CDD505-2E9C-101B-9397-08002B2CF9AE}" pid="10" name="xd_ProgID">
    <vt:lpwstr/>
  </property>
  <property fmtid="{D5CDD505-2E9C-101B-9397-08002B2CF9AE}" pid="11" name="TemplateUrl">
    <vt:lpwstr/>
  </property>
  <property fmtid="{D5CDD505-2E9C-101B-9397-08002B2CF9AE}" pid="12" name="xd_Signature">
    <vt:bool>false</vt:bool>
  </property>
</Properties>
</file>